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G:\USERS\OPS\PDF Copies of Permits\PDF-Simple Permits\Arcimoto, Inc. 200058\CAO and Application information\"/>
    </mc:Choice>
  </mc:AlternateContent>
  <xr:revisionPtr revIDLastSave="0" documentId="8_{F8815262-1F29-4B59-8FE0-87CE22EC648A}" xr6:coauthVersionLast="47" xr6:coauthVersionMax="47" xr10:uidLastSave="{00000000-0000-0000-0000-000000000000}"/>
  <bookViews>
    <workbookView xWindow="-110" yWindow="-110" windowWidth="38620" windowHeight="21220" activeTab="9" xr2:uid="{14F23801-0F8A-7E45-BE37-16D4A548DD63}"/>
  </bookViews>
  <sheets>
    <sheet name="Emission summary" sheetId="20" r:id="rId1"/>
    <sheet name="1Pretreatment Heater H2" sheetId="11" r:id="rId2"/>
    <sheet name="2Coating Oven Burner H3" sheetId="9" r:id="rId3"/>
    <sheet name="3Coating Oven (CO1)" sheetId="14" r:id="rId4"/>
    <sheet name="4Coating Line Baths (CL1)" sheetId="13" r:id="rId5"/>
    <sheet name="5Welding (W1)" sheetId="8" r:id="rId6"/>
    <sheet name="6Condensing Boiler (B1)" sheetId="5" r:id="rId7"/>
    <sheet name="7Building F Domestic HWH (B2)" sheetId="6" r:id="rId8"/>
    <sheet name="8Pretreatment Heater H1" sheetId="10" r:id="rId9"/>
    <sheet name="9IR Heaters (H4)" sheetId="7"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s>
  <definedNames>
    <definedName name="\L">#REF!</definedName>
    <definedName name="\L2">#REF!</definedName>
    <definedName name="\p">#REF!</definedName>
    <definedName name="\q">#REF!</definedName>
    <definedName name="______API2">#REF!</definedName>
    <definedName name="______MW2">#REF!</definedName>
    <definedName name="______new1">'[1]x-Vasquez-Beggs Equation (VBE)'!$F$8</definedName>
    <definedName name="______new2">'[1]x-MACRO1'!$C$1</definedName>
    <definedName name="______new3">'[1]x-MACRO1'!$C$1</definedName>
    <definedName name="______SG2">#REF!</definedName>
    <definedName name="______SGi2">#REF!</definedName>
    <definedName name="______SGx2">#REF!</definedName>
    <definedName name="______THC2">#REF!</definedName>
    <definedName name="______Ti2">#REF!</definedName>
    <definedName name="______VOC2">'[1]Vasquez-Beggs Equation (VBE)'!#REF!</definedName>
    <definedName name="_____API2">#REF!</definedName>
    <definedName name="_____MW2">#REF!</definedName>
    <definedName name="_____new1">'[1]x-Vasquez-Beggs Equation (VBE)'!$F$8</definedName>
    <definedName name="_____new2">'[1]x-MACRO1'!$C$1</definedName>
    <definedName name="_____new3">'[1]x-MACRO1'!$C$1</definedName>
    <definedName name="_____SG2">#REF!</definedName>
    <definedName name="_____SGi2">#REF!</definedName>
    <definedName name="_____SGx2">#REF!</definedName>
    <definedName name="_____THC2">#REF!</definedName>
    <definedName name="_____Ti2">#REF!</definedName>
    <definedName name="_____VOC2">'[1]Vasquez-Beggs Equation (VBE)'!#REF!</definedName>
    <definedName name="____API2">#REF!</definedName>
    <definedName name="____MW2">#REF!</definedName>
    <definedName name="____new1">'[1]x-Vasquez-Beggs Equation (VBE)'!$F$8</definedName>
    <definedName name="____new2">'[1]x-MACRO1'!$C$1</definedName>
    <definedName name="____new3">'[1]x-MACRO1'!$C$1</definedName>
    <definedName name="____SG2">#REF!</definedName>
    <definedName name="____SGi2">#REF!</definedName>
    <definedName name="____SGx2">#REF!</definedName>
    <definedName name="____THC2">#REF!</definedName>
    <definedName name="____Ti2">#REF!</definedName>
    <definedName name="____VOC2">'[1]Vasquez-Beggs Equation (VBE)'!#REF!</definedName>
    <definedName name="___API2">#REF!</definedName>
    <definedName name="___MW2">#REF!</definedName>
    <definedName name="___new1">'[1]x-Vasquez-Beggs Equation (VBE)'!$F$8</definedName>
    <definedName name="___new2">'[1]x-MACRO1'!$C$1</definedName>
    <definedName name="___new3">'[1]x-MACRO1'!$C$1</definedName>
    <definedName name="___SG2">#REF!</definedName>
    <definedName name="___SGi2">#REF!</definedName>
    <definedName name="___SGx2">#REF!</definedName>
    <definedName name="___THC2">#REF!</definedName>
    <definedName name="___Ti2">#REF!</definedName>
    <definedName name="___VOC2">'[1]Vasquez-Beggs Equation (VBE)'!#REF!</definedName>
    <definedName name="__API2">#REF!</definedName>
    <definedName name="__MW2">#REF!</definedName>
    <definedName name="__new1">'[1]x-Vasquez-Beggs Equation (VBE)'!$F$8</definedName>
    <definedName name="__new2">'[1]x-MACRO1'!$C$1</definedName>
    <definedName name="__new3">'[1]x-MACRO1'!$C$1</definedName>
    <definedName name="__SG2">#REF!</definedName>
    <definedName name="__SGi2">#REF!</definedName>
    <definedName name="__SGx2">#REF!</definedName>
    <definedName name="__THC2">#REF!</definedName>
    <definedName name="__Ti2">#REF!</definedName>
    <definedName name="__VOC2">'[1]Vasquez-Beggs Equation (VBE)'!#REF!</definedName>
    <definedName name="_01_Apr_00_00_00">'[2]Table 3-1'!#REF!</definedName>
    <definedName name="_01_Apr_01_00_00">'[2]Table 3-1'!#REF!</definedName>
    <definedName name="_01_Apr_99_00_00">'[2]Table 3-1'!#REF!</definedName>
    <definedName name="_01_Aug_00_00_00">'[2]Table 3-1'!#REF!</definedName>
    <definedName name="_01_Aug_01_00_00">'[2]Table 3-1'!#REF!</definedName>
    <definedName name="_01_Aug_98_00_00">'[2]Table 3-1'!#REF!</definedName>
    <definedName name="_01_Aug_99_00_00">'[2]Table 3-1'!#REF!</definedName>
    <definedName name="_01_Dec_00_00_00">'[2]Table 3-1'!#REF!</definedName>
    <definedName name="_01_Dec_98_00_00">'[2]Table 3-1'!#REF!</definedName>
    <definedName name="_01_Dec_99_00_00">'[2]Table 3-1'!#REF!</definedName>
    <definedName name="_01_Feb_00_00_00">'[2]Table 3-1'!#REF!</definedName>
    <definedName name="_01_Feb_01_00_00">'[2]Table 3-1'!#REF!</definedName>
    <definedName name="_01_Feb_99_00_00">'[2]Table 3-1'!#REF!</definedName>
    <definedName name="_01_Jan_00_00_00">'[2]Table 3-1'!#REF!</definedName>
    <definedName name="_01_Jan_01_00_00">'[2]Table 3-1'!#REF!</definedName>
    <definedName name="_01_Jan_99_00_00">'[2]Table 3-1'!#REF!</definedName>
    <definedName name="_01_Jul_00_00_00">'[2]Table 3-1'!#REF!</definedName>
    <definedName name="_01_Jul_01_00_00">'[2]Table 3-1'!#REF!</definedName>
    <definedName name="_01_Jul_99_00_00">'[2]Table 3-1'!#REF!</definedName>
    <definedName name="_01_Jun_00_00_00">'[2]Table 3-1'!#REF!</definedName>
    <definedName name="_01_Jun_01_00_00">'[2]Table 3-1'!#REF!</definedName>
    <definedName name="_01_Jun_99_00_00">'[2]Table 3-1'!#REF!</definedName>
    <definedName name="_01_Mar_00_00_00">'[2]Table 3-1'!#REF!</definedName>
    <definedName name="_01_Mar_01_00_00">'[2]Table 3-1'!#REF!</definedName>
    <definedName name="_01_Mar_99_00_00">'[2]Table 3-1'!#REF!</definedName>
    <definedName name="_01_May_00_00_00">'[2]Table 3-1'!#REF!</definedName>
    <definedName name="_01_May_01_00_00">'[2]Table 3-1'!#REF!</definedName>
    <definedName name="_01_May_99_00_00">'[2]Table 3-1'!#REF!</definedName>
    <definedName name="_01_Nov_00_00_00">'[2]Table 3-1'!#REF!</definedName>
    <definedName name="_01_Nov_98_00_00">'[2]Table 3-1'!#REF!</definedName>
    <definedName name="_01_Nov_99_00_00">'[2]Table 3-1'!#REF!</definedName>
    <definedName name="_01_Oct_00_00_00">'[2]Table 3-1'!#REF!</definedName>
    <definedName name="_01_Oct_98_00_00">'[2]Table 3-1'!#REF!</definedName>
    <definedName name="_01_Oct_99_00_00">'[2]Table 3-1'!#REF!</definedName>
    <definedName name="_01_Sep_00_00_00">'[2]Table 3-1'!#REF!</definedName>
    <definedName name="_01_Sep_98_00_00">'[2]Table 3-1'!#REF!</definedName>
    <definedName name="_01_Sep_99_00_00">'[2]Table 3-1'!#REF!</definedName>
    <definedName name="_AFU1">[3]BOIL4FO!#REF!</definedName>
    <definedName name="_AOR1">[3]BOIL4FO!#REF!</definedName>
    <definedName name="_AP42">'[4]Speciation (Kelloggs)'!#REF!</definedName>
    <definedName name="_API2">#REF!</definedName>
    <definedName name="_Key1" hidden="1">#REF!</definedName>
    <definedName name="_MFU1">[3]BOIL4FO!#REF!</definedName>
    <definedName name="_MOR1">[3]BOIL4FO!#REF!</definedName>
    <definedName name="_MW2">#REF!</definedName>
    <definedName name="_new1">'[1]x-Vasquez-Beggs Equation (VBE)'!$F$8</definedName>
    <definedName name="_new2">'[1]x-MACRO1'!$C$1</definedName>
    <definedName name="_new3">'[1]x-MACRO1'!$C$1</definedName>
    <definedName name="_NUM2">[3]BOIL4FO!#REF!</definedName>
    <definedName name="_Order1" hidden="1">255</definedName>
    <definedName name="_Order2" hidden="1">0</definedName>
    <definedName name="_rk1">[5]Rank!$B$6</definedName>
    <definedName name="_rk2">[5]Rank!$F$6</definedName>
    <definedName name="_rk3">[5]Rank!$J$6</definedName>
    <definedName name="_rk4">[5]Rank!$N$6</definedName>
    <definedName name="_rk6">[5]Rank!$V$6</definedName>
    <definedName name="_rk7">[5]Rank!$Z$6</definedName>
    <definedName name="_SG2">#REF!</definedName>
    <definedName name="_SGi2">#REF!</definedName>
    <definedName name="_SGx2">#REF!</definedName>
    <definedName name="_SO2">#REF!</definedName>
    <definedName name="_Sort" hidden="1">#REF!</definedName>
    <definedName name="_THC2">#REF!</definedName>
    <definedName name="_Ti2">#REF!</definedName>
    <definedName name="_VOC2">'[1]Vasquez-Beggs Equation (VBE)'!#REF!</definedName>
    <definedName name="A">#N/A</definedName>
    <definedName name="A16BLA3Ar" hidden="1">{#N/A,#N/A,FALSE,"Summary";#N/A,#N/A,FALSE,"Production";#N/A,#N/A,FALSE,"Boiler";#N/A,#N/A,FALSE,"RTO";#N/A,#N/A,FALSE,"Dryers";#N/A,#N/A,FALSE,"Presses";#N/A,#N/A,FALSE,"Kilns";#N/A,#N/A,FALSE,"Cyclones";#N/A,#N/A,FALSE,"Storage Area Fu";#N/A,#N/A,FALSE,"Proc TSP Fug";#N/A,#N/A,FALSE,"Load Fug";#N/A,#N/A,FALSE,"VOC Fug";#N/A,#N/A,FALSE,"Storage Tanks";#N/A,#N/A,FALSE,"Road Fugitives"}</definedName>
    <definedName name="aa" hidden="1">{#N/A,#N/A,FALSE,"Heater summary";#N/A,#N/A,FALSE,"H-101 Post";#N/A,#N/A,FALSE,"H-102 Post";#N/A,#N/A,FALSE,"SG-1101A Post";#N/A,#N/A,FALSE,"SG-1101B Post";#N/A,#N/A,FALSE,"H-501 Post"}</definedName>
    <definedName name="abc" hidden="1">{#N/A,#N/A,TRUE,"1996 Emission Summary";#N/A,#N/A,TRUE,"Process Rates (1996)";#N/A,#N/A,TRUE,"Natural Gas Usage Analysis";#N/A,#N/A,TRUE,"Hogged Fuel Boiler (B1)";#N/A,#N/A,TRUE,"Hogged Fuel Boiler (nat. gas)";#N/A,#N/A,TRUE,"VOC Toxics from Combustion";#N/A,#N/A,TRUE,"Package Boiler (B2)";#N/A,#N/A,TRUE,"Cyclones (all)";#N/A,#N/A,TRUE,"Dryers (D1-D4)";#N/A,#N/A,TRUE,"Press Vents (PV)"}</definedName>
    <definedName name="ACDU">'[6]Drop-Down Box Data'!$B$45:$B$48</definedName>
    <definedName name="aerated_emissions">[7]Non_Electo_Tanks!$E$14:$E$51</definedName>
    <definedName name="Aerated_tank_lb_hr">[7]Non_Electo_Tanks!$Q$14:$Q$51</definedName>
    <definedName name="AFU">[3]BOIL4FO!#REF!</definedName>
    <definedName name="AFUDC">#REF!</definedName>
    <definedName name="AH_InletT">#REF!</definedName>
    <definedName name="AH_Leak">#REF!</definedName>
    <definedName name="ahafd">#REF!</definedName>
    <definedName name="Air_Mst">#REF!</definedName>
    <definedName name="Air2FD">#REF!</definedName>
    <definedName name="Air2PA">#REF!</definedName>
    <definedName name="Air2SA">#REF!</definedName>
    <definedName name="Airlbf">#REF!</definedName>
    <definedName name="AirMoist">#REF!</definedName>
    <definedName name="AirMstLoss">#REF!</definedName>
    <definedName name="Allowance">#REF!</definedName>
    <definedName name="amt">#REF!</definedName>
    <definedName name="Annual2005">#REF!</definedName>
    <definedName name="ANT">#REF!</definedName>
    <definedName name="ap">#REF!</definedName>
    <definedName name="AP_EF_UNITS">'[8]EGEN EF Ref2'!$D$97</definedName>
    <definedName name="AP_LgGen_CO_EF">'[8]EGEN EF Ref2'!$C$102</definedName>
    <definedName name="AP_LgGen_LowNOX_EF">'[8]EGEN EF Ref2'!$C$100</definedName>
    <definedName name="AP_LgGen_NOX_EF">'[8]EGEN EF Ref2'!$C$99</definedName>
    <definedName name="AP_LgGen_PM_EF">'[8]EGEN EF Ref2'!$C$97</definedName>
    <definedName name="AP_LgGen_SO2_EF">'[8]EGEN EF Ref2'!$C$98</definedName>
    <definedName name="AP_LgGen_VOC_EF">'[8]EGEN EF Ref2'!$C$103</definedName>
    <definedName name="AP_SmGen_CO_EF">'[8]EGEN EF Ref2'!$C$93</definedName>
    <definedName name="AP_SmGen_NOX_EF">'[8]EGEN EF Ref2'!$C$92</definedName>
    <definedName name="AP_SmGen_PM_EF">'[8]EGEN EF Ref2'!$C$90</definedName>
    <definedName name="AP_SmGen_SO2_EF">'[8]EGEN EF Ref2'!$C$91</definedName>
    <definedName name="AP_SmGen_VOC_EF">'[8]EGEN EF Ref2'!$C$94</definedName>
    <definedName name="AP42btu">#REF!</definedName>
    <definedName name="APD">#REF!</definedName>
    <definedName name="API">#REF!</definedName>
    <definedName name="Ash_lbf">#REF!</definedName>
    <definedName name="AT_List">[9]!Table13[[CAS Code]:[Pollutant Common Name]]</definedName>
    <definedName name="AT_List_Number">[10]!Table13[[CAS Code2]:[Pollutant Common Name]]</definedName>
    <definedName name="Auto_Filter">#REF!</definedName>
    <definedName name="AuxBoiler">#REF!</definedName>
    <definedName name="AuxPMW">#REF!</definedName>
    <definedName name="avgfuelperhour1">[3]BOIL4FO!#REF!</definedName>
    <definedName name="avgfuelperhour2">[3]BOIL4FO!#REF!</definedName>
    <definedName name="avghourperyear1">[3]BOIL4FO!#REF!</definedName>
    <definedName name="avghourperyear2">[3]BOIL4FO!#REF!</definedName>
    <definedName name="avghourperyr1">[3]BOIL4FO!#REF!</definedName>
    <definedName name="B">#N/A</definedName>
    <definedName name="BEGIN">'[11]Main Flare'!#REF!</definedName>
    <definedName name="BFPT_Exh_h">#REF!</definedName>
    <definedName name="BFPT_Flow">#REF!</definedName>
    <definedName name="BFPT_Heat_R">#REF!</definedName>
    <definedName name="BlrLoss">#REF!</definedName>
    <definedName name="Boiler_Efficiency">#REF!</definedName>
    <definedName name="BotAsh_lbMW">#REF!</definedName>
    <definedName name="BotAsh_pph">#REF!</definedName>
    <definedName name="BTUval">#REF!</definedName>
    <definedName name="BTUwT_25K_Munter">'[12]NG Usage vs Oxidizer Temp'!$C$19</definedName>
    <definedName name="BTUwT_44K_Munter">'[12]NG Usage vs Oxidizer Temp'!$H$19</definedName>
    <definedName name="BTUwT_90K_Anguil">'[12]NG Usage vs Oxidizer Temp'!$V$4</definedName>
    <definedName name="C_Cost__kw">#REF!</definedName>
    <definedName name="C_Cost_dkw">#REF!</definedName>
    <definedName name="C_Loss">#REF!</definedName>
    <definedName name="CA_Flow">#REF!</definedName>
    <definedName name="CaLoss">#REF!</definedName>
    <definedName name="CASEFILENAME">#REF!</definedName>
    <definedName name="CASR">#REF!</definedName>
    <definedName name="CC_esc">#REF!</definedName>
    <definedName name="CF">#REF!</definedName>
    <definedName name="CFBLIGNITEHAP">#REF!</definedName>
    <definedName name="CFBNATURALGASHAP">#REF!</definedName>
    <definedName name="chemical" localSheetId="5">'[13]GWGs Summary'!#REF!</definedName>
    <definedName name="chemical" localSheetId="6">'[13]GWGs Summary'!#REF!</definedName>
    <definedName name="chemical" localSheetId="7">'[13]GWGs Summary'!#REF!</definedName>
    <definedName name="chemical" localSheetId="9">'[13]GWGs Summary'!#REF!</definedName>
    <definedName name="chemical">'[13]GWGs Summary'!#REF!</definedName>
    <definedName name="Chemical_Emission_Rate_lb_yr_crit">[7]Summary_Criteria!$E$11:$E$32</definedName>
    <definedName name="Choice">'[6]Drop-Down Box Data'!$A$4:$A$5</definedName>
    <definedName name="CMP">'[6]Drop-Down Box Data'!$B$159:$B$161</definedName>
    <definedName name="CO">#REF!</definedName>
    <definedName name="CO_tpy_boilers">'[8]1_Boilers'!$AB$35:$AB$101</definedName>
    <definedName name="CO_tpy_BSSW">'[8]3_BSSW'!$R$20:$R$23</definedName>
    <definedName name="CO_tpy_EGens">'[8]4_ EGENs Fire Pumps'!$AH$22:$AH$91</definedName>
    <definedName name="CO_tpy_Heaters">'[8]5_Heaters'!$AA$28:$AA$101</definedName>
    <definedName name="CO_tpy_RCTO">'[8]2_ RCTOs - Combustion'!$X$32:$X$72</definedName>
    <definedName name="CO_tpy_TXMW">'[8]6_TMXW'!$Z$31:$Z$39</definedName>
    <definedName name="CO2_pph">#REF!</definedName>
    <definedName name="CO2vpct">#REF!</definedName>
    <definedName name="coce">[3]BOIL4FO!#REF!</definedName>
    <definedName name="coce1">[3]BOIL4FO!#REF!</definedName>
    <definedName name="coce2">[3]BOIL4FO!#REF!</definedName>
    <definedName name="COD">#REF!</definedName>
    <definedName name="coef">[3]BOIL4FO!$T$40</definedName>
    <definedName name="CombProd">#REF!</definedName>
    <definedName name="COMP">#REF!</definedName>
    <definedName name="Cond_h">#REF!</definedName>
    <definedName name="config">[3]BOIL4FO!$C$9</definedName>
    <definedName name="ContinuousCompliance">'[6]Drop-Down Box Data'!$B$50:$B$54</definedName>
    <definedName name="control">#REF!</definedName>
    <definedName name="CT_AIR_LBwtr">#REF!</definedName>
    <definedName name="CT_AIRcfm">#REF!</definedName>
    <definedName name="CT_Aux_Loss">#REF!</definedName>
    <definedName name="ctrlname">#REF!</definedName>
    <definedName name="CW_Flow">#REF!</definedName>
    <definedName name="CW_T_Rise">#REF!</definedName>
    <definedName name="d">[0]!d</definedName>
    <definedName name="Data">#REF!</definedName>
    <definedName name="DateTime">'[2]Table 3-1'!#REF!</definedName>
    <definedName name="Datum">'[6]Drop-Down Box Data'!$C$1:$C$4</definedName>
    <definedName name="Day">'[6]Drop-Down Box Data'!$A$23:$A$53</definedName>
    <definedName name="ddd">'[1]Vasquez-Beggs Equation (VBE)'!#REF!</definedName>
    <definedName name="dhk">#REF!</definedName>
    <definedName name="Dibasic_Acid_pph">#REF!</definedName>
    <definedName name="Dibasic_C">#REF!</definedName>
    <definedName name="Discount">#REF!</definedName>
    <definedName name="Disposal">#REF!</definedName>
    <definedName name="Dry_Air">#REF!</definedName>
    <definedName name="DryAir">#REF!</definedName>
    <definedName name="dryerft">[3]BOIL4FO!#REF!</definedName>
    <definedName name="DRYGAS">#REF!</definedName>
    <definedName name="dsah">#REF!</definedName>
    <definedName name="E_Tank_Emissions">'[7]Electrolytic Tank Emissions'!$E$7:$E$14</definedName>
    <definedName name="E_Tank_lb_hr">'[7]Electrolytic Tank Emissions'!$O$7:$O$14</definedName>
    <definedName name="EAF">#REF!</definedName>
    <definedName name="EF">[14]Model!$E$1</definedName>
    <definedName name="EFCO_VOC_D1B">'[12]Emission Factors'!$E$8</definedName>
    <definedName name="EFCO_VOC_D1C">'[12]Emission Factors'!$E$9</definedName>
    <definedName name="EFCO_VOC_D1D">'[12]Emission Factors'!$E$10</definedName>
    <definedName name="EFCO_VOC_D1X">'[12]Emission Factors'!$E$11</definedName>
    <definedName name="EFCO_VOC_F15">'[12]Emission Factors'!$E$4</definedName>
    <definedName name="efficiency">#REF!</definedName>
    <definedName name="EFNOX_VOC_D1B">'[12]Emission Factors'!$F$8</definedName>
    <definedName name="EFNOX_VOC_D1C">'[12]Emission Factors'!$F$9</definedName>
    <definedName name="EFNOX_VOC_D1D">'[12]Emission Factors'!$F$10</definedName>
    <definedName name="EFNOX_VOC_D1X">'[12]Emission Factors'!$F$11</definedName>
    <definedName name="EFNOx_VOC_F15">'[12]Emission Factors'!$F$4</definedName>
    <definedName name="egwgws" localSheetId="5">'[13]GWGs Summary'!#REF!</definedName>
    <definedName name="egwgws" localSheetId="6">'[13]GWGs Summary'!#REF!</definedName>
    <definedName name="egwgws" localSheetId="7">'[13]GWGs Summary'!#REF!</definedName>
    <definedName name="egwgws" localSheetId="9">'[13]GWGs Summary'!#REF!</definedName>
    <definedName name="egwgws">'[13]GWGs Summary'!#REF!</definedName>
    <definedName name="Emiss_Info">#REF!</definedName>
    <definedName name="emission">#REF!</definedName>
    <definedName name="emission_">#REF!</definedName>
    <definedName name="Emission_Unit_Ozone" localSheetId="5">#REF!</definedName>
    <definedName name="Emission_Unit_Ozone" localSheetId="6">#REF!</definedName>
    <definedName name="Emission_Unit_Ozone" localSheetId="7">#REF!</definedName>
    <definedName name="Emission_Unit_Ozone" localSheetId="9">#REF!</definedName>
    <definedName name="Emission_Unit_Ozone">#REF!</definedName>
    <definedName name="emission1">#REF!</definedName>
    <definedName name="emission2">#REF!</definedName>
    <definedName name="Emissions_by_OPN_Freeport">#REF!</definedName>
    <definedName name="Emissions_Unit_boilers">'[8]1_Boilers'!$A$35:$A$101</definedName>
    <definedName name="Emissions_Unit_BSSW">'[8]3_BSSW'!$A$20:$A$23</definedName>
    <definedName name="Emissions_Unit_EGens">'[8]4_ EGENs Fire Pumps'!$A$22:$A$91</definedName>
    <definedName name="Emissions_Unit_Heaters">'[8]5_Heaters'!$A$28:$A$101</definedName>
    <definedName name="Emissions_Unit_RCTO">'[8]2_ RCTOs - Combustion'!$A$32:$A$72</definedName>
    <definedName name="Emissions_Unit_TXMW">'[8]6_TMXW'!$A$31:$A$39</definedName>
    <definedName name="Emissions_Units_CTs">'[8]7_Cooling Towers'!$A$24:$A$105</definedName>
    <definedName name="endrep" localSheetId="5">#REF!</definedName>
    <definedName name="endrep" localSheetId="6">#REF!</definedName>
    <definedName name="endrep" localSheetId="7">#REF!</definedName>
    <definedName name="endrep" localSheetId="9">#REF!</definedName>
    <definedName name="endrep">#REF!</definedName>
    <definedName name="EngineType">#REF!</definedName>
    <definedName name="ess">[0]!ess</definedName>
    <definedName name="EssAliasTable">"Default"</definedName>
    <definedName name="EssOptions">"110000000013010_0"</definedName>
    <definedName name="Ex_GasT">#REF!</definedName>
    <definedName name="Exh_E">#REF!</definedName>
    <definedName name="Exit_FG_T">#REF!</definedName>
    <definedName name="Ext_esc">#REF!</definedName>
    <definedName name="f" hidden="1">{#N/A,#N/A,FALSE,"Summary";#N/A,#N/A,FALSE,"Production";#N/A,#N/A,FALSE,"Boiler";#N/A,#N/A,FALSE,"RTO";#N/A,#N/A,FALSE,"Dryers";#N/A,#N/A,FALSE,"Presses";#N/A,#N/A,FALSE,"Kilns";#N/A,#N/A,FALSE,"Cyclones";#N/A,#N/A,FALSE,"Storage Area Fu";#N/A,#N/A,FALSE,"Proc TSP Fug";#N/A,#N/A,FALSE,"Load Fug";#N/A,#N/A,FALSE,"VOC Fug";#N/A,#N/A,FALSE,"Storage Tanks";#N/A,#N/A,FALSE,"Road Fugitives"}</definedName>
    <definedName name="F_Lime_C">#REF!</definedName>
    <definedName name="Factors_Gas">#REF!</definedName>
    <definedName name="FC_esc">#REF!</definedName>
    <definedName name="FD_P_Rise">#REF!</definedName>
    <definedName name="FGasMst">#REF!</definedName>
    <definedName name="FGDWst_pph">#REF!</definedName>
    <definedName name="FGMW">#REF!</definedName>
    <definedName name="first" localSheetId="5">#REF!</definedName>
    <definedName name="first" localSheetId="6">#REF!</definedName>
    <definedName name="first" localSheetId="7">#REF!</definedName>
    <definedName name="first" localSheetId="9">#REF!</definedName>
    <definedName name="first">#REF!</definedName>
    <definedName name="firsthc" localSheetId="5">#REF!</definedName>
    <definedName name="firsthc" localSheetId="6">#REF!</definedName>
    <definedName name="firsthc" localSheetId="7">#REF!</definedName>
    <definedName name="firsthc" localSheetId="9">#REF!</definedName>
    <definedName name="firsthc">#REF!</definedName>
    <definedName name="firsttotil" localSheetId="5">#REF!</definedName>
    <definedName name="firsttotil" localSheetId="6">#REF!</definedName>
    <definedName name="firsttotil" localSheetId="7">#REF!</definedName>
    <definedName name="firsttotil" localSheetId="9">#REF!</definedName>
    <definedName name="firsttotil">#REF!</definedName>
    <definedName name="FlareFlows">[15]FlareBckup!$B$10:$G$26</definedName>
    <definedName name="FlareLHV">[15]FlareBckup!$B$37:$J$71</definedName>
    <definedName name="FLARES">#REF!</definedName>
    <definedName name="FlueGas_cfm">#REF!</definedName>
    <definedName name="FlueGas_T">#REF!</definedName>
    <definedName name="FlyAsh_pph">#REF!</definedName>
    <definedName name="FMstLoss">#REF!</definedName>
    <definedName name="Form">[16]MACRO1!$C$1</definedName>
    <definedName name="Form2">#REF!</definedName>
    <definedName name="FOTYPE">[3]BOIL4FO!$C$13</definedName>
    <definedName name="FREQUENCY">#REF!</definedName>
    <definedName name="Fu_Ash">#REF!</definedName>
    <definedName name="Fu_C">#REF!</definedName>
    <definedName name="Fu_H2">#REF!</definedName>
    <definedName name="Fu_H2O">#REF!</definedName>
    <definedName name="FU_N">#REF!</definedName>
    <definedName name="Fu_O2">#REF!</definedName>
    <definedName name="Fu_S">#REF!</definedName>
    <definedName name="Fuel">[17]EFs!$A$2:$A$19</definedName>
    <definedName name="Fuel_C">#REF!</definedName>
    <definedName name="Fuel_Cton">#REF!</definedName>
    <definedName name="Fuel_pph">#REF!</definedName>
    <definedName name="Fuel1">#REF!</definedName>
    <definedName name="Fuel2_pph">#REF!</definedName>
    <definedName name="furnacesI">#REF!</definedName>
    <definedName name="FurnacesT">#REF!</definedName>
    <definedName name="Future_OnOff">[12]Assumptions!$B$18</definedName>
    <definedName name="GasFlow_lbf">#REF!</definedName>
    <definedName name="GasLoss">#REF!</definedName>
    <definedName name="GF_Furn">#REF!</definedName>
    <definedName name="ggo">#REF!</definedName>
    <definedName name="GHV">#REF!</definedName>
    <definedName name="GOR_Data">[18]GOR!#REF!</definedName>
    <definedName name="gotovard">[0]!gotovard</definedName>
    <definedName name="Gotovaru">[0]!Gotovaru</definedName>
    <definedName name="GPHR">#REF!</definedName>
    <definedName name="GT_CompE">#REF!</definedName>
    <definedName name="GT_ExhGas">#REF!</definedName>
    <definedName name="GT_Net_out">#REF!</definedName>
    <definedName name="GTout">#REF!</definedName>
    <definedName name="H_2">#REF!</definedName>
    <definedName name="H2C7651_CV">'[2]Table 3-1'!#REF!</definedName>
    <definedName name="H2Loss">#REF!</definedName>
    <definedName name="H2O_gpm">#REF!</definedName>
    <definedName name="H2Ovpct">#REF!</definedName>
    <definedName name="HAir">#REF!</definedName>
    <definedName name="HAsh">#REF!</definedName>
    <definedName name="Heat2Cond">#REF!</definedName>
    <definedName name="HeaterBoilerRating">'[18]Heaters-Boilers'!$P$12:$P$19</definedName>
    <definedName name="HeatInput">#REF!</definedName>
    <definedName name="Help">#REF!</definedName>
    <definedName name="HGI">#REF!</definedName>
    <definedName name="HGTin">#REF!</definedName>
    <definedName name="HGTout">#REF!</definedName>
    <definedName name="HHRSGout">#REF!</definedName>
    <definedName name="HHV">#REF!</definedName>
    <definedName name="hhvgas">'[19]Standard Values'!$B$2</definedName>
    <definedName name="HI">#REF!</definedName>
    <definedName name="HSorb">#REF!</definedName>
    <definedName name="i">#REF!</definedName>
    <definedName name="ID_P_Rise">#REF!</definedName>
    <definedName name="Ifurn">#REF!</definedName>
    <definedName name="Infilt">#REF!</definedName>
    <definedName name="INPUTS">[20]A!$A$22:$AL$46</definedName>
    <definedName name="Inservice">#REF!</definedName>
    <definedName name="Julie">[21]MACRO1!$C$1</definedName>
    <definedName name="k">#REF!</definedName>
    <definedName name="last" localSheetId="5">#REF!</definedName>
    <definedName name="last" localSheetId="6">#REF!</definedName>
    <definedName name="last" localSheetId="7">#REF!</definedName>
    <definedName name="last" localSheetId="9">#REF!</definedName>
    <definedName name="last">#REF!</definedName>
    <definedName name="lasthc" localSheetId="5">#REF!</definedName>
    <definedName name="lasthc" localSheetId="6">#REF!</definedName>
    <definedName name="lasthc" localSheetId="7">#REF!</definedName>
    <definedName name="lasthc" localSheetId="9">#REF!</definedName>
    <definedName name="lasthc">#REF!</definedName>
    <definedName name="Lbs_Per_Day">#REF!</definedName>
    <definedName name="Lead_tpy_boilers">'[8]1_Boilers'!$AJ$35:$AJ$101</definedName>
    <definedName name="Lead_tpy_BSSW">'[8]3_BSSW'!$AB$20:$AB$23</definedName>
    <definedName name="Lead_tpy_Heaters">'[8]5_Heaters'!$AK$28:$AK$101</definedName>
    <definedName name="Lead_tpy_RCTO">'[8]2_ RCTOs - Combustion'!$AO$32:$AO$72</definedName>
    <definedName name="Lead_tpy_TMXW">'[8]6_TMXW'!$AJ$31:$AJ$39</definedName>
    <definedName name="LFCR">#REF!</definedName>
    <definedName name="Life">#REF!</definedName>
    <definedName name="Lime_C">#REF!</definedName>
    <definedName name="liquid">#REF!</definedName>
    <definedName name="Load">#REF!</definedName>
    <definedName name="location">[3]BOIL4FO!$L$42</definedName>
    <definedName name="LP_Turb_E">#REF!</definedName>
    <definedName name="LPT_Heat_R">#REF!</definedName>
    <definedName name="Main">#REF!</definedName>
    <definedName name="maxfuel">[3]BOIL4FO!#REF!</definedName>
    <definedName name="maxfuelperhour1">[3]BOIL4FO!#REF!</definedName>
    <definedName name="maxfuelperhour2">[3]BOIL4FO!#REF!</definedName>
    <definedName name="maxhour">[3]BOIL4FO!#REF!</definedName>
    <definedName name="maxhourperyear1">[3]BOIL4FO!#REF!</definedName>
    <definedName name="maxhourperyear2">[3]BOIL4FO!#REF!</definedName>
    <definedName name="maxlbphr">[3]BOIL4FO!#REF!</definedName>
    <definedName name="maxrate">[3]BOIL4FO!#REF!</definedName>
    <definedName name="Method">'[6]Drop-Down Box Data'!$B$1:$B$39</definedName>
    <definedName name="Mfg_mrgn">#REF!</definedName>
    <definedName name="MgLoss">#REF!</definedName>
    <definedName name="minWindSpd">[22]Introduction!$T$17</definedName>
    <definedName name="mjk">'[1]Vasquez-Beggs Equation (VBE)'!#REF!</definedName>
    <definedName name="MolarVolume">#REF!</definedName>
    <definedName name="MolWt">#REF!</definedName>
    <definedName name="Month">'[6]Drop-Down Box Data'!$A$10:$A$21</definedName>
    <definedName name="mqy">'[23]Wafer Starts'!$AC$25</definedName>
    <definedName name="MS_Flow">#REF!</definedName>
    <definedName name="MW">#REF!</definedName>
    <definedName name="N0_GT">#REF!</definedName>
    <definedName name="N2vpct">#REF!</definedName>
    <definedName name="Name">"Aromatics and Dienes"</definedName>
    <definedName name="NatFactor">#REF!</definedName>
    <definedName name="new">'[1]x-Vasquez-Beggs Equation (VBE)'!$F$8</definedName>
    <definedName name="NG_heatcontent">[12]Assumptions1!$P$17</definedName>
    <definedName name="ngheatcontent">[3]BOIL4FO!#REF!</definedName>
    <definedName name="NGO">#REF!</definedName>
    <definedName name="NH3_pph">#REF!</definedName>
    <definedName name="NH3NO2_Molar">#REF!</definedName>
    <definedName name="No_SG">#REF!</definedName>
    <definedName name="No_ST">#REF!</definedName>
    <definedName name="No_Stacks">#REF!</definedName>
    <definedName name="NOX">#REF!</definedName>
    <definedName name="NOx_MBtu">#REF!</definedName>
    <definedName name="NOx_pph">#REF!</definedName>
    <definedName name="NOX_Removal">#REF!</definedName>
    <definedName name="NOx_tpy_boilers">'[8]1_Boilers'!$Y$35:$Y$101</definedName>
    <definedName name="NOx_tpy_BSSW">'[8]3_BSSW'!$T$20:$T$23</definedName>
    <definedName name="NOx_tpy_EGens">'[8]4_ EGENs Fire Pumps'!$AA$22:$AA$91</definedName>
    <definedName name="NOx_tpy_Heaters">'[8]5_Heaters'!$AC$28:$AC$101</definedName>
    <definedName name="NOx_tpy_RCTO">'[8]2_ RCTOs - Combustion'!$U$32:$U$72</definedName>
    <definedName name="NOx_tpy_TXMW">'[8]6_TMXW'!$AB$31:$AB$39</definedName>
    <definedName name="noxce1">[3]BOIL4FO!#REF!</definedName>
    <definedName name="noxce2">[3]BOIL4FO!#REF!</definedName>
    <definedName name="noxef">[3]BOIL4FO!$R$40</definedName>
    <definedName name="NOxpMB">#REF!</definedName>
    <definedName name="NPHR">#REF!</definedName>
    <definedName name="NTHR">#REF!</definedName>
    <definedName name="num">[3]BOIL4FO!#REF!</definedName>
    <definedName name="O_M">#REF!</definedName>
    <definedName name="O_M2">#REF!</definedName>
    <definedName name="O2pct">#REF!</definedName>
    <definedName name="OM_esc">#REF!</definedName>
    <definedName name="OperatingSchedule">#REF!</definedName>
    <definedName name="OUTPUTS">[20]B!$A$10:$AB$34</definedName>
    <definedName name="Ovpct">#REF!</definedName>
    <definedName name="Ozone_tpy_Ozone" localSheetId="5">#REF!</definedName>
    <definedName name="Ozone_tpy_Ozone" localSheetId="6">#REF!</definedName>
    <definedName name="Ozone_tpy_Ozone" localSheetId="7">#REF!</definedName>
    <definedName name="Ozone_tpy_Ozone" localSheetId="9">#REF!</definedName>
    <definedName name="Ozone_tpy_Ozone">#REF!</definedName>
    <definedName name="OzonefactorB">#REF!</definedName>
    <definedName name="OzonefactorG">#REF!</definedName>
    <definedName name="OzonefactorH">#REF!</definedName>
    <definedName name="P">#REF!</definedName>
    <definedName name="PA_P_Rise">#REF!</definedName>
    <definedName name="partef">[3]BOIL4FO!$N$40</definedName>
    <definedName name="Partic_Eff">#REF!</definedName>
    <definedName name="Partic_pph">#REF!</definedName>
    <definedName name="PermitCaseMultiplier">#REF!</definedName>
    <definedName name="Plantware_Annual">#REF!</definedName>
    <definedName name="Plantware_Ozone">#REF!</definedName>
    <definedName name="PM">#REF!</definedName>
    <definedName name="PM10_tpy_boilers">'[8]1_Boilers'!$AD$35:$AD$101</definedName>
    <definedName name="PM10_tpy_BSSW">'[8]3_BSSW'!$V$20:$V$23</definedName>
    <definedName name="PM10_tpy_CTs">'[8]7_Cooling Towers'!$AO$24:$AO$105</definedName>
    <definedName name="PM10_tpy_EGens">'[8]4_ EGENs Fire Pumps'!$AM$22:$AM$91</definedName>
    <definedName name="PM10_tpy_Heaters">'[8]5_Heaters'!$AE$28:$AE$101</definedName>
    <definedName name="PM10_tpy_RCTO">'[8]2_ RCTOs - Combustion'!$AK$32:$AK$72</definedName>
    <definedName name="PM10_tpy_TMXW">'[8]6_TMXW'!$AD$31:$AD$39</definedName>
    <definedName name="PM2.5_tpy_boilers">'[8]1_Boilers'!$AF$35:$AF$101</definedName>
    <definedName name="PM2.5_tpy_BSSW">'[8]3_BSSW'!$X$20:$X$23</definedName>
    <definedName name="PM2.5_tpy_CTs">'[8]7_Cooling Towers'!$AQ$24:$AQ$105</definedName>
    <definedName name="PM2.5_tpy_EGens">'[8]4_ EGENs Fire Pumps'!$AR$22:$AR$91</definedName>
    <definedName name="PM2.5_tpy_Heaters">'[8]5_Heaters'!$AG$28:$AG$101</definedName>
    <definedName name="PM2.5_tpy_RCTO">'[8]2_ RCTOs - Combustion'!$AM$32:$AM$72</definedName>
    <definedName name="PM2.5_tpy_TXMW">'[8]6_TMXW'!$AF$31:$AF$39</definedName>
    <definedName name="pmce1">[3]BOIL4FO!#REF!</definedName>
    <definedName name="pmce2">[3]BOIL4FO!#REF!</definedName>
    <definedName name="PMEF">[3]BOIL4FO!#REF!</definedName>
    <definedName name="POISTAGS">#REF!</definedName>
    <definedName name="Pollutant_Class_Crit">[7]Summary_Criteria!$C$11:$C$32</definedName>
    <definedName name="PP">#REF!</definedName>
    <definedName name="_xlnm.Print_Area" localSheetId="1">'1Pretreatment Heater H2'!$A$4:$E$72</definedName>
    <definedName name="_xlnm.Print_Area" localSheetId="2">'2Coating Oven Burner H3'!$A$4:$E$69</definedName>
    <definedName name="_xlnm.Print_Area" localSheetId="3">'3Coating Oven (CO1)'!$A$3:$H$35</definedName>
    <definedName name="_xlnm.Print_Area" localSheetId="4">'4Coating Line Baths (CL1)'!$A$50:$Q$79</definedName>
    <definedName name="_xlnm.Print_Area" localSheetId="5">'5Welding (W1)'!$A$4:$F$33</definedName>
    <definedName name="_xlnm.Print_Area" localSheetId="6">'6Condensing Boiler (B1)'!$A$4:$E$74</definedName>
    <definedName name="_xlnm.Print_Area" localSheetId="7">'7Building F Domestic HWH (B2)'!$A$4:$E$74</definedName>
    <definedName name="_xlnm.Print_Area" localSheetId="8">'8Pretreatment Heater H1'!$A$4:$E$75</definedName>
    <definedName name="_xlnm.Print_Area" localSheetId="9">'9IR Heaters (H4)'!$A$4:$E$74</definedName>
    <definedName name="_xlnm.Print_Area" localSheetId="0">'Emission summary'!$A$3:$H$30</definedName>
    <definedName name="_xlnm.Print_Area">#REF!</definedName>
    <definedName name="Print_Area_MI">#REF!</definedName>
    <definedName name="Print_Form">#REF!</definedName>
    <definedName name="_xlnm.Print_Titles" localSheetId="1">'1Pretreatment Heater H2'!$39:$40</definedName>
    <definedName name="_xlnm.Print_Titles" localSheetId="2">'2Coating Oven Burner H3'!$36:$37</definedName>
    <definedName name="_xlnm.Print_Titles" localSheetId="7">'7Building F Domestic HWH (B2)'!$36:$37</definedName>
    <definedName name="_xlnm.Print_Titles" localSheetId="8">'8Pretreatment Heater H1'!$36:$37</definedName>
    <definedName name="_xlnm.Print_Titles" localSheetId="9">'9IR Heaters (H4)'!$36:$37</definedName>
    <definedName name="_xlnm.Print_Titles">#N/A</definedName>
    <definedName name="printdollardetail">[0]!printdollardetail</definedName>
    <definedName name="printunitsdetail">[0]!printunitsdetail</definedName>
    <definedName name="process_POU_scalar">[12]Model!$I$4</definedName>
    <definedName name="process_scalar">[12]Model!$I$3</definedName>
    <definedName name="Ptitle_Fugi_1">#REF!,#REF!</definedName>
    <definedName name="Ptitle_Fugi_2">#REF!,#REF!</definedName>
    <definedName name="Q">#REF!</definedName>
    <definedName name="QBlr">#REF!</definedName>
    <definedName name="QQ">#REF!</definedName>
    <definedName name="RadLoss">#REF!</definedName>
    <definedName name="Rank1">[5]Rank!$A$6:$C$15</definedName>
    <definedName name="Rank10">[5]Rank!$I$19:$K$43</definedName>
    <definedName name="Rank11">[5]Rank!$M$19:$O$43</definedName>
    <definedName name="Rank12">[5]Rank!$Q$19:$S$43</definedName>
    <definedName name="Rank13">[5]Rank!$U$19:$W$43</definedName>
    <definedName name="Rank14">[5]Rank!$Y$19:$AA$43</definedName>
    <definedName name="Rank15">[5]Rank!$A$48:$B$60</definedName>
    <definedName name="Rank16">[5]Rank!$E$48:$G$60</definedName>
    <definedName name="Rank17">[5]Rank!$I$48:$K$60</definedName>
    <definedName name="Rank18">[5]Rank!$M$48:$O$60</definedName>
    <definedName name="Rank19">[5]Rank!$Q$48:$S$60</definedName>
    <definedName name="Rank2">[5]Rank!$E$6:$G$15</definedName>
    <definedName name="Rank20">[5]Rank!$U$48:$W$60</definedName>
    <definedName name="Rank21">[5]Rank!$Y$48:$AA$60</definedName>
    <definedName name="Rank22">[5]Rank!$A$63:$C$78</definedName>
    <definedName name="Rank23">[5]Rank!$E$63:$G$78</definedName>
    <definedName name="Rank24">[5]Rank!$I$63:$K$78</definedName>
    <definedName name="Rank25">[5]Rank!$M$63:$O$78</definedName>
    <definedName name="Rank26">[5]Rank!$Q$63:$S$78</definedName>
    <definedName name="Rank27">[5]Rank!$U$63:$W$78</definedName>
    <definedName name="Rank28">[5]Rank!$Y$63:$AA$78</definedName>
    <definedName name="Rank3">[5]Rank!$I$6:$K$15</definedName>
    <definedName name="Rank4">[5]Rank!$M$6:$O$15</definedName>
    <definedName name="Rank5">[5]Rank!$Q$6:$S$15</definedName>
    <definedName name="Rank6">[5]Rank!$U$6:$W$15</definedName>
    <definedName name="Rank7">[5]Rank!$Y$6:$AA$15</definedName>
    <definedName name="Rank8">[5]Rank!$A$19:$C$43</definedName>
    <definedName name="Rank9">[5]Rank!$E$19:$G$43</definedName>
    <definedName name="rated">[3]BOIL4FO!#REF!</definedName>
    <definedName name="RBC_Table">[24]RBC!$B$6:$J$266</definedName>
    <definedName name="RCTO_T">[12]Assumptions1!$P$18</definedName>
    <definedName name="RCTO_Utilize">[12]Pareto!$B$29</definedName>
    <definedName name="Reg_No">#N/A</definedName>
    <definedName name="Reisman2.5from10">'[14]CoolingTower PTE'!$E$10</definedName>
    <definedName name="Rep_Pwr_C">#REF!</definedName>
    <definedName name="s">[25]MACRO1!$C$1</definedName>
    <definedName name="S_Removal">#REF!</definedName>
    <definedName name="saturation">#REF!</definedName>
    <definedName name="SBEngines">[25]MACRO1!$C$1</definedName>
    <definedName name="sdf">#REF!</definedName>
    <definedName name="sggssfg">#REF!</definedName>
    <definedName name="SGi">#REF!</definedName>
    <definedName name="SGx">#REF!</definedName>
    <definedName name="sheet100">[0]!sheet100</definedName>
    <definedName name="SIC">[3]BOIL4FO!$C$8</definedName>
    <definedName name="sL">#REF!</definedName>
    <definedName name="SO2_esc">#REF!</definedName>
    <definedName name="SO2_tpy_boilers">'[8]1_Boilers'!$AH$35:$AH$101</definedName>
    <definedName name="SO2_tpy_BSSW">'[8]3_BSSW'!$Z$20:$Z$23</definedName>
    <definedName name="SO2_tpy_EGens">'[8]4_ EGENs Fire Pumps'!$AV$22:$AV$91</definedName>
    <definedName name="SO2_tpy_Heaters">'[8]5_Heaters'!$AI$28:$AI$101</definedName>
    <definedName name="SO2_tpy_RCTO">'[8]2_ RCTOs - Combustion'!$AD$32:$AD$72</definedName>
    <definedName name="SO2_tpy_TMXW">'[8]6_TMXW'!$AH$31:$AH$39</definedName>
    <definedName name="so2ce1">[3]BOIL4FO!#REF!</definedName>
    <definedName name="so2ce2">[3]BOIL4FO!#REF!</definedName>
    <definedName name="so2ef">[3]BOIL4FO!$P$40</definedName>
    <definedName name="SO2vpct">#REF!</definedName>
    <definedName name="SOME">#N/A</definedName>
    <definedName name="Sorb_lbf">#REF!</definedName>
    <definedName name="Sorb_pph">#REF!</definedName>
    <definedName name="SorbAsh">#REF!</definedName>
    <definedName name="SorbCaCO3">#REF!</definedName>
    <definedName name="SOrbCaO">#REF!</definedName>
    <definedName name="SorbMgCO3">#REF!</definedName>
    <definedName name="SorbMoist">#REF!</definedName>
    <definedName name="source">[26]fugitive!$A$6:$H$24</definedName>
    <definedName name="SOx_pph">#REF!</definedName>
    <definedName name="SOx_Uncntrl">#REF!</definedName>
    <definedName name="SOxpMB">#REF!</definedName>
    <definedName name="SOxppm">#REF!</definedName>
    <definedName name="ssjf">#REF!</definedName>
    <definedName name="status">[3]BOIL4FO!#REF!</definedName>
    <definedName name="Stm_Inj_Flow">#REF!</definedName>
    <definedName name="STout">#REF!</definedName>
    <definedName name="sulfurpercent">[3]BOIL4FO!$C$15</definedName>
    <definedName name="SulGain">#REF!</definedName>
    <definedName name="SummaryD800">[27]Vents!#REF!</definedName>
    <definedName name="SummaryEPN424final">'[28]HU-CWTR'!#REF!</definedName>
    <definedName name="SummaryEPN424initial">'[28]HU-CWTR'!#REF!</definedName>
    <definedName name="SummD155">[27]Vents!#REF!</definedName>
    <definedName name="T_Solid_Wst">#REF!</definedName>
    <definedName name="T8A">'[29]Table 8 Att'!#REF!</definedName>
    <definedName name="Table_1_a">#REF!</definedName>
    <definedName name="TailFactor">#REF!</definedName>
    <definedName name="tanksFX">[30]FX!$A$7:$F$60</definedName>
    <definedName name="tanksIFR">#REF!</definedName>
    <definedName name="Tanktype">'[18]MSS FLR Tank Landing Loss'!#REF!</definedName>
    <definedName name="TAPHAP">'[6]Drop-Down Box Data'!$E$1:$E$226</definedName>
    <definedName name="TAuxPwr">#REF!</definedName>
    <definedName name="Tbl31Data">#REF!</definedName>
    <definedName name="tblOutput10">'[31]EI Reporting Form'!#REF!</definedName>
    <definedName name="THAIR">#REF!</definedName>
    <definedName name="THC">#REF!</definedName>
    <definedName name="ThDRYGAS">#REF!</definedName>
    <definedName name="Ti">#REF!</definedName>
    <definedName name="TotAirFlo">#REF!</definedName>
    <definedName name="TPY">#REF!</definedName>
    <definedName name="TRPwr">#REF!</definedName>
    <definedName name="tt">#REF!</definedName>
    <definedName name="Turbine">#REF!</definedName>
    <definedName name="UnacLoss">#REF!</definedName>
    <definedName name="UNI_AA_VERSION" hidden="1">"150.2.0"</definedName>
    <definedName name="UNI_FILT_END" hidden="1">8</definedName>
    <definedName name="UNI_FILT_OFFSPEC" hidden="1">2</definedName>
    <definedName name="UNI_FILT_ONSPEC" hidden="1">1</definedName>
    <definedName name="UNI_FILT_START" hidden="1">4</definedName>
    <definedName name="UNI_NOTHING" hidden="1">0</definedName>
    <definedName name="UNI_PRES_CLOSEST" hidden="1">512</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MRECORD" hidden="1">64</definedName>
    <definedName name="UNI_PRES_OUTLIERS" hidden="1">32</definedName>
    <definedName name="UNI_PRES_POST" hidden="1">256</definedName>
    <definedName name="UNI_PRES_PRIOR" hidden="1">2048</definedName>
    <definedName name="UNI_PRES_RECENT" hidden="1">1024</definedName>
    <definedName name="UNI_PRES_STATIC" hidden="1">128</definedName>
    <definedName name="UNI_PRES_TRANSPOSE" hidden="1">4096</definedName>
    <definedName name="UNI_RET_ATTRIB" hidden="1">64</definedName>
    <definedName name="UNI_RET_CONF" hidden="1">32</definedName>
    <definedName name="UNI_RET_DESC" hidden="1">4</definedName>
    <definedName name="UNI_RET_END" hidden="1">16384</definedName>
    <definedName name="UNI_RET_EQUIP" hidden="1">32768</definedName>
    <definedName name="UNI_RET_EVENT" hidden="1">4096</definedName>
    <definedName name="UNI_RET_OFFSPEC" hidden="1">512</definedName>
    <definedName name="UNI_RET_ONSPEC" hidden="1">256</definedName>
    <definedName name="UNI_RET_PROP" hidden="1">131072</definedName>
    <definedName name="UNI_RET_PROPDESC" hidden="1">262144</definedName>
    <definedName name="UNI_RET_SMPLPNT" hidden="1">65536</definedName>
    <definedName name="UNI_RET_SPECMAX" hidden="1">2048</definedName>
    <definedName name="UNI_RET_SPECMIN" hidden="1">1024</definedName>
    <definedName name="UNI_RET_START" hidden="1">8192</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FORMANCES1R1C3" hidden="1">#REF!</definedName>
    <definedName name="UNIFORMANCES1R7C1" hidden="1">#REF!</definedName>
    <definedName name="UNIFORMANCES1R7C13" hidden="1">#REF!</definedName>
    <definedName name="UNIFORMANCES1R7C17" hidden="1">#REF!</definedName>
    <definedName name="UNIFORMANCES1R7C21" hidden="1">#REF!</definedName>
    <definedName name="UNIFORMANCES1R7C25" hidden="1">#REF!</definedName>
    <definedName name="UNIFORMANCES1R7C29" hidden="1">#REF!</definedName>
    <definedName name="UNIFORMANCES1R7C33" hidden="1">#REF!</definedName>
    <definedName name="UNIFORMANCES1R7C37" hidden="1">#REF!</definedName>
    <definedName name="UNIFORMANCES1R7C41" hidden="1">#REF!</definedName>
    <definedName name="UNIFORMANCES1R7C45" hidden="1">#REF!</definedName>
    <definedName name="UNIFORMANCES1R7C5" hidden="1">#REF!</definedName>
    <definedName name="UNIFORMANCES1R7C9" hidden="1">#REF!</definedName>
    <definedName name="UNIFORMANCES2R545C1" hidden="1">#REF!</definedName>
    <definedName name="UNIFORMANCES2R566C1" hidden="1">#REF!</definedName>
    <definedName name="UNIFORMANCES2R569C1" hidden="1">#REF!</definedName>
    <definedName name="UNIFORMANCES2R594C1" hidden="1">#REF!</definedName>
    <definedName name="UNIFORMANCES2R619C1" hidden="1">#REF!</definedName>
    <definedName name="UNIFORMANCES2R664C1" hidden="1">#REF!</definedName>
    <definedName name="UNIFORMANCES2R692C1" hidden="1">#REF!</definedName>
    <definedName name="UNIFORMANCES2R726C1" hidden="1">#REF!</definedName>
    <definedName name="UNIFORMANCES2R767C1" hidden="1">#REF!</definedName>
    <definedName name="UNIFORMANCES2R7C1" hidden="1">#REF!</definedName>
    <definedName name="UNIFORMANCES2R7C13" hidden="1">#REF!</definedName>
    <definedName name="UNIFORMANCES2R7C17" hidden="1">#REF!</definedName>
    <definedName name="UNIFORMANCES2R7C21" hidden="1">#REF!</definedName>
    <definedName name="UNIFORMANCES2R7C25" hidden="1">#REF!</definedName>
    <definedName name="UNIFORMANCES2R7C29" hidden="1">#REF!</definedName>
    <definedName name="UNIFORMANCES2R7C33" hidden="1">#REF!</definedName>
    <definedName name="UNIFORMANCES2R7C37" hidden="1">#REF!</definedName>
    <definedName name="UNIFORMANCES2R7C41" hidden="1">#REF!</definedName>
    <definedName name="UNIFORMANCES2R7C45" hidden="1">#REF!</definedName>
    <definedName name="UNIFORMANCES2R7C5" hidden="1">#REF!</definedName>
    <definedName name="UNIFORMANCES2R7C9" hidden="1">#REF!</definedName>
    <definedName name="UNIFORMANCES2R830C1" hidden="1">#REF!</definedName>
    <definedName name="UNIFORMANCES2R870C1" hidden="1">#REF!</definedName>
    <definedName name="UNIFORMANCES2R892C1" hidden="1">#REF!</definedName>
    <definedName name="UNIFORMANCES6R355C1" hidden="1">#REF!</definedName>
    <definedName name="UNIFORMANCES7R375C1" hidden="1">#REF!</definedName>
    <definedName name="UNIFORMANCES7R415C1" hidden="1">#REF!</definedName>
    <definedName name="UNIFORMANCES7R463C1" hidden="1">#REF!</definedName>
    <definedName name="UNIFORMANCES7R467C1" hidden="1">#REF!</definedName>
    <definedName name="UNIFORMANCES7R515C1" hidden="1">#REF!</definedName>
    <definedName name="Unit">[17]EFs!$J$3:$J$7</definedName>
    <definedName name="unknown">#REF!</definedName>
    <definedName name="UTMZone">'[6]Drop-Down Box Data'!$A$1:$A$2</definedName>
    <definedName name="valve_ct">#REF!</definedName>
    <definedName name="Velocity">#REF!</definedName>
    <definedName name="VOC">#REF!</definedName>
    <definedName name="vocef">[3]BOIL4FO!$AB$40</definedName>
    <definedName name="vomce">[3]BOIL4FO!#REF!</definedName>
    <definedName name="vomce1">[3]BOIL4FO!#REF!</definedName>
    <definedName name="vomce2">[3]BOIL4FO!#REF!</definedName>
    <definedName name="VOMEF">[3]BOIL4FO!#REF!</definedName>
    <definedName name="Water_C">#REF!</definedName>
    <definedName name="WHB">#REF!</definedName>
    <definedName name="wrn.1996._.EIS._.Report." hidden="1">{#N/A,#N/A,TRUE,"1996 Emission Summary";#N/A,#N/A,TRUE,"Process Rates (1996)";#N/A,#N/A,TRUE,"Natural Gas Usage Analysis";#N/A,#N/A,TRUE,"Hogged Fuel Boiler (B1)";#N/A,#N/A,TRUE,"Hogged Fuel Boiler (nat. gas)";#N/A,#N/A,TRUE,"VOC Toxics from Combustion";#N/A,#N/A,TRUE,"Package Boiler (B2)";#N/A,#N/A,TRUE,"Cyclones (all)";#N/A,#N/A,TRUE,"Dryers (D1-D4)";#N/A,#N/A,TRUE,"Press Vents (PV)"}</definedName>
    <definedName name="wrn.1996._.Emission._.Inventory." hidden="1">{#N/A,#N/A,FALSE,"Summary";#N/A,#N/A,FALSE,"Production";#N/A,#N/A,FALSE,"Boiler";#N/A,#N/A,FALSE,"RTO";#N/A,#N/A,FALSE,"Dryers";#N/A,#N/A,FALSE,"Presses";#N/A,#N/A,FALSE,"Kilns";#N/A,#N/A,FALSE,"Cyclones";#N/A,#N/A,FALSE,"Storage Area Fu";#N/A,#N/A,FALSE,"Proc TSP Fug";#N/A,#N/A,FALSE,"Load Fug";#N/A,#N/A,FALSE,"VOC Fug";#N/A,#N/A,FALSE,"Storage Tanks";#N/A,#N/A,FALSE,"Road Fugitives"}</definedName>
    <definedName name="wrn.Calcs." hidden="1">{#N/A,#N/A,FALSE,"Summary";#N/A,#N/A,FALSE,"Baghouses - Flow";#N/A,#N/A,FALSE,"2-95 Hot Press";#N/A,#N/A,FALSE,"3-95 I-Assembly";#N/A,#N/A,FALSE,"4-95 Hot Oil Heater";#N/A,#N/A,FALSE,"6-95 Diesel Tank";#N/A,#N/A,FALSE,"1-97 LVL Assembly";#N/A,#N/A,FALSE,"4-97 Glue Fugitives";#N/A,#N/A,FALSE,"5-97 LVL Surface Pre-Heaters";#N/A,#N/A,FALSE,"6-97 LVL Conditioning Heaters";#N/A,#N/A,FALSE,"8-97 Fugitive Inks";#N/A,#N/A,FALSE,"Tanks";#N/A,#N/A,FALSE,"I-Assembly Cond. Heaters"}</definedName>
    <definedName name="wrn.Compositions." hidden="1">{"Compositions",#N/A,FALSE,"TTU Summary"}</definedName>
    <definedName name="wrn.EPNs." hidden="1">{#N/A,#N/A,TRUE,"EPN 500";#N/A,#N/A,TRUE,"EPN 505 (Trains I-III Stippers)";#N/A,#N/A,TRUE,"EPN 505 (Trains I-III Dryers)";#N/A,#N/A,TRUE,"EPN 505 (Tr I-III Water Wash)";#N/A,#N/A,TRUE,"EPN 505 (Train IV)";#N/A,#N/A,TRUE,"EPN 505 Summary";#N/A,#N/A,TRUE,"EPN 514";#N/A,#N/A,TRUE,"EPN 517";#N/A,#N/A,TRUE,"EPN 518";#N/A,#N/A,TRUE,"EPN 520";#N/A,#N/A,TRUE,"EPN 523";#N/A,#N/A,TRUE,"EPN 524 Summary";#N/A,#N/A,TRUE,"EPN 525 &amp; 526";#N/A,#N/A,TRUE,"EPN 534";#N/A,#N/A,TRUE,"EPN 536 Summary";#N/A,#N/A,TRUE,"EPN 538";#N/A,#N/A,TRUE,"EPN 605";#N/A,#N/A,TRUE,"EPN 606";#N/A,#N/A,TRUE,"EPN's 607, 608, 609, 610, 611";#N/A,#N/A,TRUE,"EPN 612";#N/A,#N/A,TRUE,"EPN 900"}</definedName>
    <definedName name="wrn.Fugitive._.Speciation." hidden="1">{"Speciation",#N/A,TRUE,"Speciation";"wastewater treatment",#N/A,TRUE,"Speciation"}</definedName>
    <definedName name="wrn.Fugitive._.VOCs." hidden="1">{"summary",#N/A,TRUE,"Fugitive VOC";"fugitives",#N/A,TRUE,"Fugitives";"facility fugitives",#N/A,TRUE,"Fugitive VOC";"compressor",#N/A,TRUE,"Fugitive VOC";"compressors",#N/A,TRUE,"Fugitive VOC";"cpi_separator",#N/A,TRUE,"Fugitive VOC";"blowdown",#N/A,TRUE,"Fugitive VOC";"waste treatment",#N/A,TRUE,"Fugitive VOC"}</definedName>
    <definedName name="wrn.heater._.summary." hidden="1">{#N/A,#N/A,FALSE,"Heater summary";#N/A,#N/A,FALSE,"H-101 Post";#N/A,#N/A,FALSE,"H-102 Post";#N/A,#N/A,FALSE,"SG-1101A Post";#N/A,#N/A,FALSE,"SG-1101B Post";#N/A,#N/A,FALSE,"H-501 Post"}</definedName>
    <definedName name="wrn.Input._.Section." hidden="1">{"Input Section",#N/A,FALSE,"TTU Summary"}</definedName>
    <definedName name="wrn.Instructions." hidden="1">{"Instructions",#N/A,FALSE,"TTU Summary"}</definedName>
    <definedName name="wrn.NSR._.Calculations._.Report." hidden="1">{#N/A,#N/A,FALSE,"PSD";"boiler criteria",#N/A,FALSE,"Boiler (T5)";"boiler toxic",#N/A,FALSE,"Boiler (T5)";#N/A,#N/A,FALSE,"Boiler (1994)";#N/A,#N/A,FALSE,"Boiler (1995)";#N/A,#N/A,FALSE,"Cyclones";"title v",#N/A,FALSE,"DRYERS1";"actual",#N/A,FALSE,"DRYERS1";"title v",#N/A,FALSE,"DRYERS2";"actual",#N/A,FALSE,"DRYERS2";#N/A,#N/A,FALSE,"Press"}</definedName>
    <definedName name="wrn.Output._.Reports." hidden="1">{"Total TTU Output",#N/A,FALSE,"TTU Summary";"B_68 OPN Output",#N/A,FALSE,"TTU Summary";"B_19 OPN Output",#N/A,FALSE,"TTU Summary"}</definedName>
    <definedName name="wrn.Permit._.Mod." hidden="1">{#N/A,#N/A,TRUE,"Title V Emission Summary";#N/A,#N/A,TRUE,"Title V Toxic Emissions Summary";#N/A,#N/A,TRUE,"Hogged Fuel Boiler (B1)";#N/A,#N/A,TRUE,"Hogged Fuel Boiler Toxics (B1)";#N/A,#N/A,TRUE,"Hogged Fuel Boiler (nat. gas)";#N/A,#N/A,TRUE,"Package Boiler (B2)";#N/A,#N/A,TRUE,"Cyclones (all)";#N/A,#N/A,TRUE,"Dryers (D1-D4)";#N/A,#N/A,TRUE,"Panel Assembly Fugitives (PAF)";#N/A,#N/A,TRUE,"Veneer Composer";#N/A,#N/A,TRUE,"Gasoline Tank";#N/A,#N/A,TRUE,"PA Modifications NSR (94-95)";#N/A,#N/A,TRUE,"Dryers NSR (94-95)";#N/A,#N/A,TRUE,"Cyclones (1994-1995)"}</definedName>
    <definedName name="wrn.Print._.All." hidden="1">{"Instructions",#N/A,FALSE,"TTU Summary";"Reporting Responsibilities",#N/A,FALSE,"TTU Summary";"Input Section",#N/A,FALSE,"TTU Summary";"Compositions",#N/A,FALSE,"TTU Summary";"Total TTU Output",#N/A,FALSE,"TTU Summary";"B_19 OPN Output",#N/A,FALSE,"TTU Summary";"B_68 OPN Output",#N/A,FALSE,"TTU Summary";"MAER Comparision",#N/A,FALSE,"TTU Summary"}</definedName>
    <definedName name="wrn.Print._.B19._.Detail." hidden="1">{"F210 detailed output",#N/A,FALSE,"F-210 TTU";"F11 detailed output",#N/A,FALSE,"F-11 TTU"}</definedName>
    <definedName name="wrn.Print._.B68._.Details." hidden="1">{"f-603 detailed output",#N/A,FALSE,"FTB-603 TTU";"f-2 detailed output",#N/A,FALSE,"F-2 TTU"}</definedName>
    <definedName name="wrn.r1." hidden="1">{"boiler",#N/A,TRUE,"Hogged Fuel Boiler (B1)";"boiltox",#N/A,TRUE,"Hogged Fuel Boiler (B1)";"natgas",#N/A,TRUE,"Nat. Gas Package Boiler (B2)";"cyclones",#N/A,TRUE,"Cyclones";"dryview1",#N/A,TRUE,"Dryers (1-4)";"dryview2",#N/A,TRUE,"Dryers (1-4)";"glue",#N/A,TRUE,"Press Vents (PV)";"vc",#N/A,TRUE,"Press Vents (PV)"}</definedName>
    <definedName name="wrn.report." hidden="1">{#N/A,#N/A,FALSE,"F1-Currrent";#N/A,#N/A,FALSE,"F2-Current";#N/A,#N/A,FALSE,"F2-Proposed";#N/A,#N/A,FALSE,"F3-Current";#N/A,#N/A,FALSE,"F4-Current";#N/A,#N/A,FALSE,"F4-Proposed";#N/A,#N/A,FALSE,"Controls"}</definedName>
    <definedName name="wrn.Reporting._.Responsibilites." hidden="1">{"Reporting Responsibilities",#N/A,FALSE,"TTU Summary"}</definedName>
    <definedName name="wrn.State._.Permit._.Modification." hidden="1">{"nsr",#N/A,FALSE,"NSR";"b1prop",#N/A,FALSE,"Boiler (B1) - Proposed";"b1_1994",#N/A,FALSE,"B1 - 1994,95";"b1_1995",#N/A,FALSE,"B1 - 1994,95";"b2_t5",#N/A,FALSE,"B2 - T5";"cyc_t5",#N/A,FALSE,"Cyclones - T5, 1994,95";"cyc_2yr",#N/A,FALSE,"Cyclones - T5, 1994,95";"dry_1",#N/A,FALSE,"Dryers - T5, 1994,95";"dry_1",#N/A,FALSE,"Dryers - 2 yr summary";"dry_2",#N/A,FALSE,"Dryers - 2 yr summary";"press_1",#N/A,FALSE,"Press Vents";"press_3",#N/A,FALSE,"Press Vents";"press_2",#N/A,FALSE,"Press Vents";"veneer",#N/A,FALSE,"Veneer Composers"}</definedName>
    <definedName name="wrn.Summary." hidden="1">{"CO",#N/A,FALSE,"Summary Sheet";"H2S",#N/A,FALSE,"Summary Sheet";"NOx",#N/A,FALSE,"Summary Sheet";"SO2",#N/A,FALSE,"Summary Sheet";"PM",#N/A,FALSE,"Summary Sheet";"TRS",#N/A,FALSE,"Summary Sheet";"VOCs",#N/A,FALSE,"Summary Sheet"}</definedName>
    <definedName name="wrn.T5COMBO._.Report." hidden="1">{#N/A,#N/A,FALSE,"Reconciled Quantified Sources";#N/A,#N/A,FALSE,"Source Group Splitting";#N/A,#N/A,FALSE,"CO";#N/A,#N/A,FALSE,"H2S";#N/A,#N/A,FALSE,"NOx";#N/A,#N/A,FALSE,"Other TRS";#N/A,#N/A,FALSE,"SO2";#N/A,#N/A,FALSE,"PM";#N/A,#N/A,FALSE,"VOC";#N/A,#N/A,FALSE,"Other Toxics"}</definedName>
    <definedName name="wrn.Title._.V._.Emissions._.Report." hidden="1">{#N/A,#N/A,FALSE,"Reconciled Sources";#N/A,#N/A,FALSE,"Process Rates";#N/A,#N/A,FALSE,"Emission Factors";#N/A,#N/A,FALSE,"Derived Emission Factors";#N/A,#N/A,FALSE,"Emission Summary";#N/A,#N/A,FALSE,"VOC Summary";#N/A,#N/A,FALSE,"Other Toxics";#N/A,#N/A,FALSE,"No. 20 Smelt Diss. Tank (04)";#N/A,#N/A,FALSE,"Lime Kiln (05)";#N/A,#N/A,FALSE,"No. 10c Hogged Fuel Boiler (06)";#N/A,#N/A,FALSE,"No. 20 Recovery Furnace (19,20)";#N/A,#N/A,FALSE,"No. 12 Hogged Fuel Boiler (21)";#N/A,#N/A,FALSE,"No. 21 Recovery Furnace (22)";#N/A,#N/A,FALSE,"No. 21 Smelt Diss. Tank (23)";#N/A,#N/A,FALSE,"No. 11 Package Boiler (24)";#N/A,#N/A,FALSE,"BLO Tanks (25)";#N/A,#N/A,FALSE,"Paper Machines (26)";#N/A,#N/A,FALSE,"Wastewater Treatment Sys. (27)";#N/A,#N/A,FALSE,"Batch Tall Oil Reactors (28)";#N/A,#N/A,FALSE,"Atm. Diff. Washer System (29)";#N/A,#N/A,FALSE,"Strong BL Storage Tanks (40)";#N/A,#N/A,FALSE,"Slaker-Causticizer System (43)";#N/A,#N/A,FALSE,"Green Liquor Clarifiers (44)";#N/A,#N/A,FALSE,"HD Pulp Storage Tanks (45)";#N/A,#N/A,FALSE,"Deckers (46)";#N/A,#N/A,FALSE,"Lime Mud Precoat Filter (47)";#N/A,#N/A,FALSE,"No. 20 Salt Cake Mix Tank (49)";#N/A,#N/A,FALSE,"No. 21 Salt Cake Mix Tank (50)";#N/A,#N/A,FALSE,"Semi-Chem Drum Washer Sys. (57)";#N/A,#N/A,FALSE,"Weak BL Storage Tanks (58)";#N/A,#N/A,FALSE,"Woodyard Sources (61)";#N/A,#N/A,FALSE,"Box Plant (65)";#N/A,#N/A,FALSE,"Pulp Mill Fugitives (66)";#N/A,#N/A,FALSE,"GC17"}</definedName>
    <definedName name="wrn.title5." hidden="1">{"crudeheater",#N/A,FALSE,"1-74";"bargedock",#N/A,FALSE,"17-74";"flare",#N/A,FALSE,"18-74";"fcccracker",#N/A,FALSE,"1-77";"vacuumheater",#N/A,FALSE,"2-77";"boilers",#N/A,FALSE,"4-77 &amp; 5-77";"sru",#N/A,FALSE,"6-77";"fug1",#N/A,FALSE,"1-81";"hotoil",#N/A,FALSE,"2-82";"fccu",#N/A,FALSE,"1-85";"refheater",#N/A,FALSE,"2-85";"vaporcom",#N/A,FALSE,"1-91";"chargeheat",#N/A,FALSE,"2-91";"strippreb",#N/A,FALSE,"3-91";"tanks",#N/A,FALSE,"Tanks";"tank941",#N/A,FALSE,"Tank 941";"toxics",#N/A,FALSE,"Speciations";"summary",#N/A,FALSE,"Summary"}</definedName>
    <definedName name="wrn.Toxic._.calculations." hidden="1">{"summary",#N/A,TRUE,"Summary";"vapor_wt_percent",#N/A,TRUE,"Vapor Weight"}</definedName>
    <definedName name="wrn.TTU._.Detail." hidden="1">{"B68 TTU Detail",#N/A,FALSE,"TTU Summary";"B19 TTU Detail",#N/A,FALSE,"TTU Summary"}</definedName>
    <definedName name="XSAIR">#REF!</definedName>
    <definedName name="Year">'[6]Drop-Down Box Data'!$A$55:$A$177</definedName>
    <definedName name="z1006760qry_rpt_qa_StreamCompositionTagCount">#REF!</definedName>
    <definedName name="z1006760RPT_Comp_Stream_Coun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26" i="13" l="1"/>
  <c r="R24" i="13"/>
  <c r="R23" i="13"/>
  <c r="R22" i="13"/>
  <c r="F24" i="13"/>
  <c r="F25" i="13"/>
  <c r="F26" i="13"/>
  <c r="F27" i="13"/>
  <c r="F23" i="13"/>
  <c r="F22" i="13"/>
  <c r="E9" i="20"/>
  <c r="C24" i="14"/>
  <c r="G24" i="14" s="1"/>
  <c r="C23" i="14"/>
  <c r="G23" i="14" s="1"/>
  <c r="C22" i="14"/>
  <c r="G22" i="14" s="1"/>
  <c r="F76" i="13"/>
  <c r="E13" i="20" l="1"/>
  <c r="T28" i="13" l="1"/>
  <c r="U28" i="13"/>
  <c r="T29" i="13"/>
  <c r="M30" i="13"/>
  <c r="N30" i="13" s="1"/>
  <c r="Q30" i="13" s="1"/>
  <c r="S30" i="13" s="1"/>
  <c r="F30" i="13"/>
  <c r="J30" i="13" s="1"/>
  <c r="F25" i="8"/>
  <c r="F26" i="8"/>
  <c r="F27" i="8"/>
  <c r="F24" i="8"/>
  <c r="D25" i="8"/>
  <c r="D26" i="8"/>
  <c r="D27" i="8"/>
  <c r="D24" i="8"/>
  <c r="C17" i="8"/>
  <c r="D17" i="8" s="1"/>
  <c r="G10" i="20" s="1"/>
  <c r="U30" i="13" l="1"/>
  <c r="U29" i="13"/>
  <c r="T30" i="13" l="1"/>
  <c r="M35" i="13"/>
  <c r="N35" i="13" s="1"/>
  <c r="Q35" i="13" s="1"/>
  <c r="F35" i="13"/>
  <c r="J35" i="13" s="1"/>
  <c r="S35" i="13" l="1"/>
  <c r="I74" i="13"/>
  <c r="E30" i="14"/>
  <c r="E31" i="14"/>
  <c r="E32" i="14" s="1"/>
  <c r="E33" i="14"/>
  <c r="H33" i="14" s="1"/>
  <c r="F33" i="14" s="1"/>
  <c r="G33" i="14" s="1"/>
  <c r="P76" i="13" s="1"/>
  <c r="M74" i="13"/>
  <c r="M75" i="13"/>
  <c r="I75" i="13"/>
  <c r="I73" i="13"/>
  <c r="M73" i="13"/>
  <c r="J22" i="13"/>
  <c r="S22" i="13" s="1"/>
  <c r="M23" i="13"/>
  <c r="N23" i="13" s="1"/>
  <c r="Q23" i="13" s="1"/>
  <c r="M24" i="13"/>
  <c r="N24" i="13" s="1"/>
  <c r="Q24" i="13" s="1"/>
  <c r="M25" i="13"/>
  <c r="N25" i="13" s="1"/>
  <c r="Q25" i="13" s="1"/>
  <c r="M26" i="13"/>
  <c r="N26" i="13" s="1"/>
  <c r="Q26" i="13" s="1"/>
  <c r="M27" i="13"/>
  <c r="N27" i="13" s="1"/>
  <c r="Q27" i="13" s="1"/>
  <c r="M22" i="13"/>
  <c r="N22" i="13" s="1"/>
  <c r="Q22" i="13" s="1"/>
  <c r="J24" i="13"/>
  <c r="J25" i="13"/>
  <c r="J26" i="13"/>
  <c r="J27" i="13"/>
  <c r="J23" i="13"/>
  <c r="B19" i="9"/>
  <c r="B19" i="11"/>
  <c r="E203" i="9"/>
  <c r="E202" i="9"/>
  <c r="E201" i="9"/>
  <c r="E200" i="9"/>
  <c r="E199" i="9"/>
  <c r="E198" i="9"/>
  <c r="E197" i="9"/>
  <c r="E196" i="9"/>
  <c r="E194" i="9"/>
  <c r="E193" i="9"/>
  <c r="E192" i="9"/>
  <c r="F216" i="9" s="1"/>
  <c r="E190" i="9"/>
  <c r="B189" i="9"/>
  <c r="E189" i="9" s="1"/>
  <c r="E216" i="9" s="1"/>
  <c r="B188" i="9"/>
  <c r="E188" i="9" s="1"/>
  <c r="D216" i="9" s="1"/>
  <c r="B187" i="9"/>
  <c r="E187" i="9" s="1"/>
  <c r="C216" i="9" s="1"/>
  <c r="B186" i="9"/>
  <c r="E186" i="9" s="1"/>
  <c r="B216" i="9" s="1"/>
  <c r="B185" i="9"/>
  <c r="E185" i="9" s="1"/>
  <c r="A216" i="9" s="1"/>
  <c r="E164" i="9"/>
  <c r="D164" i="9"/>
  <c r="C164" i="9"/>
  <c r="B164" i="9"/>
  <c r="A164" i="9"/>
  <c r="E151" i="9"/>
  <c r="E150" i="9"/>
  <c r="E149" i="9"/>
  <c r="E148" i="9"/>
  <c r="E147" i="9"/>
  <c r="G146" i="9"/>
  <c r="E146" i="9"/>
  <c r="E145" i="9"/>
  <c r="E144" i="9"/>
  <c r="E152" i="9" s="1"/>
  <c r="G164" i="9" s="1"/>
  <c r="E142" i="9"/>
  <c r="E141" i="9"/>
  <c r="E140" i="9"/>
  <c r="G142" i="9" s="1"/>
  <c r="G143" i="9" s="1"/>
  <c r="E206" i="11"/>
  <c r="E205" i="11"/>
  <c r="E204" i="11"/>
  <c r="E203" i="11"/>
  <c r="E202" i="11"/>
  <c r="E201" i="11"/>
  <c r="E200" i="11"/>
  <c r="E199" i="11"/>
  <c r="E197" i="11"/>
  <c r="E196" i="11"/>
  <c r="E195" i="11"/>
  <c r="G219" i="11" s="1"/>
  <c r="E193" i="11"/>
  <c r="B192" i="11"/>
  <c r="E192" i="11" s="1"/>
  <c r="E219" i="11" s="1"/>
  <c r="B191" i="11"/>
  <c r="E191" i="11" s="1"/>
  <c r="D219" i="11" s="1"/>
  <c r="B190" i="11"/>
  <c r="E190" i="11" s="1"/>
  <c r="C219" i="11" s="1"/>
  <c r="B189" i="11"/>
  <c r="E189" i="11" s="1"/>
  <c r="B219" i="11" s="1"/>
  <c r="B188" i="11"/>
  <c r="E188" i="11" s="1"/>
  <c r="A219" i="11" s="1"/>
  <c r="E167" i="11"/>
  <c r="D167" i="11"/>
  <c r="C167" i="11"/>
  <c r="B167" i="11"/>
  <c r="A167" i="11"/>
  <c r="E154" i="11"/>
  <c r="E153" i="11"/>
  <c r="E152" i="11"/>
  <c r="E151" i="11"/>
  <c r="E150" i="11"/>
  <c r="H149" i="11"/>
  <c r="E149" i="11"/>
  <c r="E148" i="11"/>
  <c r="E147" i="11"/>
  <c r="E155" i="11" s="1"/>
  <c r="H167" i="11" s="1"/>
  <c r="E145" i="11"/>
  <c r="E144" i="11"/>
  <c r="E143" i="11"/>
  <c r="H145" i="11" s="1"/>
  <c r="H146" i="11" s="1"/>
  <c r="E203" i="10"/>
  <c r="E202" i="10"/>
  <c r="E201" i="10"/>
  <c r="E200" i="10"/>
  <c r="E199" i="10"/>
  <c r="E198" i="10"/>
  <c r="E197" i="10"/>
  <c r="E196" i="10"/>
  <c r="E204" i="10" s="1"/>
  <c r="G216" i="10" s="1"/>
  <c r="E194" i="10"/>
  <c r="E193" i="10"/>
  <c r="E192" i="10"/>
  <c r="F216" i="10" s="1"/>
  <c r="E190" i="10"/>
  <c r="B189" i="10"/>
  <c r="E189" i="10" s="1"/>
  <c r="E216" i="10" s="1"/>
  <c r="B188" i="10"/>
  <c r="E188" i="10" s="1"/>
  <c r="D216" i="10" s="1"/>
  <c r="B187" i="10"/>
  <c r="E187" i="10" s="1"/>
  <c r="C216" i="10" s="1"/>
  <c r="B186" i="10"/>
  <c r="E186" i="10" s="1"/>
  <c r="B216" i="10" s="1"/>
  <c r="B185" i="10"/>
  <c r="E185" i="10" s="1"/>
  <c r="A216" i="10" s="1"/>
  <c r="E164" i="10"/>
  <c r="D164" i="10"/>
  <c r="C164" i="10"/>
  <c r="B164" i="10"/>
  <c r="A164" i="10"/>
  <c r="E151" i="10"/>
  <c r="E150" i="10"/>
  <c r="E149" i="10"/>
  <c r="E148" i="10"/>
  <c r="E147" i="10"/>
  <c r="G146" i="10"/>
  <c r="E146" i="10"/>
  <c r="E145" i="10"/>
  <c r="E144" i="10"/>
  <c r="E152" i="10" s="1"/>
  <c r="G164" i="10" s="1"/>
  <c r="E142" i="10"/>
  <c r="E141" i="10"/>
  <c r="E140" i="10"/>
  <c r="G142" i="10" s="1"/>
  <c r="G143" i="10" s="1"/>
  <c r="S27" i="13" l="1"/>
  <c r="S23" i="13"/>
  <c r="S26" i="13"/>
  <c r="S25" i="13"/>
  <c r="S24" i="13"/>
  <c r="F24" i="14"/>
  <c r="H24" i="14"/>
  <c r="E204" i="9"/>
  <c r="G216" i="9" s="1"/>
  <c r="E207" i="11"/>
  <c r="H219" i="11" s="1"/>
  <c r="N73" i="13"/>
  <c r="U35" i="13"/>
  <c r="T35" i="13"/>
  <c r="U22" i="13"/>
  <c r="O76" i="13"/>
  <c r="Q76" i="13"/>
  <c r="N75" i="13"/>
  <c r="O75" i="13" s="1"/>
  <c r="N74" i="13"/>
  <c r="O74" i="13" s="1"/>
  <c r="H30" i="14"/>
  <c r="F23" i="14"/>
  <c r="D64" i="9"/>
  <c r="F64" i="9" s="1"/>
  <c r="D63" i="9"/>
  <c r="F63" i="9" s="1"/>
  <c r="D62" i="9"/>
  <c r="F62" i="9" s="1"/>
  <c r="D61" i="9"/>
  <c r="F61" i="9" s="1"/>
  <c r="D60" i="9"/>
  <c r="F60" i="9" s="1"/>
  <c r="D59" i="9"/>
  <c r="F59" i="9" s="1"/>
  <c r="D58" i="9"/>
  <c r="F58" i="9" s="1"/>
  <c r="D57" i="9"/>
  <c r="F57" i="9" s="1"/>
  <c r="D56" i="9"/>
  <c r="F56" i="9" s="1"/>
  <c r="D55" i="9"/>
  <c r="F55" i="9" s="1"/>
  <c r="D54" i="9"/>
  <c r="F54" i="9" s="1"/>
  <c r="D53" i="9"/>
  <c r="F53" i="9" s="1"/>
  <c r="D52" i="9"/>
  <c r="F52" i="9" s="1"/>
  <c r="D51" i="9"/>
  <c r="F51" i="9" s="1"/>
  <c r="D50" i="9"/>
  <c r="F50" i="9" s="1"/>
  <c r="D49" i="9"/>
  <c r="F49" i="9" s="1"/>
  <c r="D48" i="9"/>
  <c r="F48" i="9" s="1"/>
  <c r="D47" i="9"/>
  <c r="F47" i="9" s="1"/>
  <c r="D46" i="9"/>
  <c r="F46" i="9" s="1"/>
  <c r="D45" i="9"/>
  <c r="F45" i="9" s="1"/>
  <c r="D44" i="9"/>
  <c r="F44" i="9" s="1"/>
  <c r="D43" i="9"/>
  <c r="F43" i="9" s="1"/>
  <c r="D42" i="9"/>
  <c r="F42" i="9" s="1"/>
  <c r="D41" i="9"/>
  <c r="F41" i="9" s="1"/>
  <c r="D40" i="9"/>
  <c r="F40" i="9" s="1"/>
  <c r="D39" i="9"/>
  <c r="F39" i="9" s="1"/>
  <c r="D38" i="9"/>
  <c r="F164" i="9"/>
  <c r="B12" i="9"/>
  <c r="D67" i="11"/>
  <c r="G67" i="11" s="1"/>
  <c r="D62" i="11"/>
  <c r="G62" i="11" s="1"/>
  <c r="D60" i="11"/>
  <c r="G60" i="11" s="1"/>
  <c r="D57" i="11"/>
  <c r="G57" i="11" s="1"/>
  <c r="D53" i="11"/>
  <c r="G53" i="11" s="1"/>
  <c r="D50" i="11"/>
  <c r="G50" i="11" s="1"/>
  <c r="D45" i="11"/>
  <c r="G45" i="11" s="1"/>
  <c r="D42" i="11"/>
  <c r="G42" i="11" s="1"/>
  <c r="D65" i="11"/>
  <c r="G65" i="11" s="1"/>
  <c r="D63" i="11"/>
  <c r="G63" i="11" s="1"/>
  <c r="D59" i="11"/>
  <c r="G59" i="11" s="1"/>
  <c r="D55" i="11"/>
  <c r="G55" i="11" s="1"/>
  <c r="D52" i="11"/>
  <c r="G52" i="11" s="1"/>
  <c r="D49" i="11"/>
  <c r="G49" i="11" s="1"/>
  <c r="D46" i="11"/>
  <c r="G46" i="11" s="1"/>
  <c r="D41" i="11"/>
  <c r="D66" i="11"/>
  <c r="G66" i="11" s="1"/>
  <c r="D64" i="11"/>
  <c r="G64" i="11" s="1"/>
  <c r="D61" i="11"/>
  <c r="G61" i="11" s="1"/>
  <c r="D58" i="11"/>
  <c r="G58" i="11" s="1"/>
  <c r="D56" i="11"/>
  <c r="G56" i="11" s="1"/>
  <c r="D54" i="11"/>
  <c r="G54" i="11" s="1"/>
  <c r="D51" i="11"/>
  <c r="G51" i="11" s="1"/>
  <c r="D48" i="11"/>
  <c r="G48" i="11" s="1"/>
  <c r="D47" i="11"/>
  <c r="G47" i="11" s="1"/>
  <c r="D44" i="11"/>
  <c r="G44" i="11" s="1"/>
  <c r="D43" i="11"/>
  <c r="G43" i="11" s="1"/>
  <c r="B12" i="11"/>
  <c r="G167" i="11"/>
  <c r="F164" i="10"/>
  <c r="B10" i="8"/>
  <c r="F166" i="8"/>
  <c r="F165" i="8"/>
  <c r="F164" i="8"/>
  <c r="F163" i="8"/>
  <c r="F162" i="8"/>
  <c r="F161" i="8"/>
  <c r="F160" i="8"/>
  <c r="F159" i="8"/>
  <c r="F157" i="8"/>
  <c r="F156" i="8"/>
  <c r="F155" i="8"/>
  <c r="F153" i="8"/>
  <c r="B152" i="8"/>
  <c r="F152" i="8" s="1"/>
  <c r="F179" i="8" s="1"/>
  <c r="B151" i="8"/>
  <c r="F151" i="8" s="1"/>
  <c r="E179" i="8" s="1"/>
  <c r="B150" i="8"/>
  <c r="F150" i="8" s="1"/>
  <c r="C179" i="8" s="1"/>
  <c r="B149" i="8"/>
  <c r="F149" i="8" s="1"/>
  <c r="B179" i="8" s="1"/>
  <c r="B148" i="8"/>
  <c r="F148" i="8" s="1"/>
  <c r="A179" i="8" s="1"/>
  <c r="F127" i="8"/>
  <c r="E127" i="8"/>
  <c r="C127" i="8"/>
  <c r="B127" i="8"/>
  <c r="A127" i="8"/>
  <c r="F114" i="8"/>
  <c r="F113" i="8"/>
  <c r="F112" i="8"/>
  <c r="F111" i="8"/>
  <c r="F110" i="8"/>
  <c r="H109" i="8"/>
  <c r="F109" i="8"/>
  <c r="F108" i="8"/>
  <c r="F107" i="8"/>
  <c r="F115" i="8" s="1"/>
  <c r="H127" i="8" s="1"/>
  <c r="F105" i="8"/>
  <c r="F104" i="8"/>
  <c r="F103" i="8"/>
  <c r="H105" i="8" s="1"/>
  <c r="H106" i="8" s="1"/>
  <c r="E25" i="8" l="1"/>
  <c r="E26" i="8"/>
  <c r="E27" i="8"/>
  <c r="E24" i="8"/>
  <c r="F30" i="14"/>
  <c r="U23" i="13"/>
  <c r="T23" i="13"/>
  <c r="U27" i="13"/>
  <c r="V31" i="13" s="1"/>
  <c r="F13" i="20" s="1"/>
  <c r="T27" i="13"/>
  <c r="U26" i="13"/>
  <c r="T26" i="13"/>
  <c r="U24" i="13"/>
  <c r="T24" i="13"/>
  <c r="U25" i="13"/>
  <c r="T25" i="13"/>
  <c r="T22" i="13"/>
  <c r="S31" i="13"/>
  <c r="Q75" i="13"/>
  <c r="P75" i="13"/>
  <c r="Q74" i="13"/>
  <c r="P74" i="13"/>
  <c r="H31" i="14"/>
  <c r="H32" i="14"/>
  <c r="O73" i="13"/>
  <c r="O77" i="13" s="1"/>
  <c r="H23" i="14"/>
  <c r="F38" i="9"/>
  <c r="F65" i="9" s="1"/>
  <c r="D65" i="9"/>
  <c r="B17" i="9"/>
  <c r="C32" i="9" s="1"/>
  <c r="D12" i="20" s="1"/>
  <c r="B13" i="9"/>
  <c r="B18" i="9" s="1"/>
  <c r="B17" i="11"/>
  <c r="C35" i="11" s="1"/>
  <c r="C12" i="20" s="1"/>
  <c r="B13" i="11"/>
  <c r="B18" i="11" s="1"/>
  <c r="G41" i="11"/>
  <c r="G68" i="11" s="1"/>
  <c r="D68" i="11"/>
  <c r="G179" i="8"/>
  <c r="F167" i="8"/>
  <c r="H179" i="8" s="1"/>
  <c r="G127" i="8"/>
  <c r="F32" i="14" l="1"/>
  <c r="G32" i="14" s="1"/>
  <c r="G30" i="14"/>
  <c r="F31" i="14"/>
  <c r="G31" i="14" s="1"/>
  <c r="H34" i="14"/>
  <c r="E14" i="20" s="1"/>
  <c r="H12" i="20"/>
  <c r="U31" i="13"/>
  <c r="T31" i="13"/>
  <c r="Q73" i="13"/>
  <c r="Q77" i="13" s="1"/>
  <c r="F14" i="20" s="1"/>
  <c r="P73" i="13"/>
  <c r="P77" i="13" s="1"/>
  <c r="C24" i="9"/>
  <c r="D8" i="20" s="1"/>
  <c r="C27" i="9"/>
  <c r="D11" i="20" s="1"/>
  <c r="C23" i="9"/>
  <c r="D7" i="20" s="1"/>
  <c r="E64" i="9"/>
  <c r="G64" i="9" s="1"/>
  <c r="E63" i="9"/>
  <c r="G63" i="9" s="1"/>
  <c r="E62" i="9"/>
  <c r="G62" i="9" s="1"/>
  <c r="E61" i="9"/>
  <c r="G61" i="9" s="1"/>
  <c r="E60" i="9"/>
  <c r="G60" i="9" s="1"/>
  <c r="E59" i="9"/>
  <c r="G59" i="9" s="1"/>
  <c r="E58" i="9"/>
  <c r="G58" i="9" s="1"/>
  <c r="E57" i="9"/>
  <c r="G57" i="9" s="1"/>
  <c r="E56" i="9"/>
  <c r="G56" i="9" s="1"/>
  <c r="E55" i="9"/>
  <c r="G55" i="9" s="1"/>
  <c r="E54" i="9"/>
  <c r="G54" i="9" s="1"/>
  <c r="E53" i="9"/>
  <c r="G53" i="9" s="1"/>
  <c r="E52" i="9"/>
  <c r="G52" i="9" s="1"/>
  <c r="E51" i="9"/>
  <c r="G51" i="9" s="1"/>
  <c r="E50" i="9"/>
  <c r="G50" i="9" s="1"/>
  <c r="E49" i="9"/>
  <c r="G49" i="9" s="1"/>
  <c r="E48" i="9"/>
  <c r="G48" i="9" s="1"/>
  <c r="E47" i="9"/>
  <c r="G47" i="9" s="1"/>
  <c r="E46" i="9"/>
  <c r="G46" i="9" s="1"/>
  <c r="E45" i="9"/>
  <c r="G45" i="9" s="1"/>
  <c r="E44" i="9"/>
  <c r="G44" i="9" s="1"/>
  <c r="E43" i="9"/>
  <c r="G43" i="9" s="1"/>
  <c r="E42" i="9"/>
  <c r="G42" i="9" s="1"/>
  <c r="E41" i="9"/>
  <c r="G41" i="9" s="1"/>
  <c r="E40" i="9"/>
  <c r="G40" i="9" s="1"/>
  <c r="E39" i="9"/>
  <c r="G39" i="9" s="1"/>
  <c r="E38" i="9"/>
  <c r="C26" i="9"/>
  <c r="D10" i="20" s="1"/>
  <c r="C25" i="9"/>
  <c r="D9" i="20" s="1"/>
  <c r="C26" i="11"/>
  <c r="C8" i="20" s="1"/>
  <c r="H8" i="20" s="1"/>
  <c r="C29" i="11"/>
  <c r="C11" i="20" s="1"/>
  <c r="H11" i="20" s="1"/>
  <c r="C25" i="11"/>
  <c r="C7" i="20" s="1"/>
  <c r="H7" i="20" s="1"/>
  <c r="E67" i="11"/>
  <c r="H67" i="11" s="1"/>
  <c r="E66" i="11"/>
  <c r="H66" i="11" s="1"/>
  <c r="E65" i="11"/>
  <c r="H65" i="11" s="1"/>
  <c r="E64" i="11"/>
  <c r="H64" i="11" s="1"/>
  <c r="E63" i="11"/>
  <c r="H63" i="11" s="1"/>
  <c r="E62" i="11"/>
  <c r="H62" i="11" s="1"/>
  <c r="E61" i="11"/>
  <c r="H61" i="11" s="1"/>
  <c r="E60" i="11"/>
  <c r="H60" i="11" s="1"/>
  <c r="E59" i="11"/>
  <c r="H59" i="11" s="1"/>
  <c r="E58" i="11"/>
  <c r="H58" i="11" s="1"/>
  <c r="E57" i="11"/>
  <c r="H57" i="11" s="1"/>
  <c r="E56" i="11"/>
  <c r="H56" i="11" s="1"/>
  <c r="E55" i="11"/>
  <c r="H55" i="11" s="1"/>
  <c r="E54" i="11"/>
  <c r="H54" i="11" s="1"/>
  <c r="E53" i="11"/>
  <c r="H53" i="11" s="1"/>
  <c r="E52" i="11"/>
  <c r="H52" i="11" s="1"/>
  <c r="E51" i="11"/>
  <c r="H51" i="11" s="1"/>
  <c r="E50" i="11"/>
  <c r="H50" i="11" s="1"/>
  <c r="E49" i="11"/>
  <c r="H49" i="11" s="1"/>
  <c r="E48" i="11"/>
  <c r="H48" i="11" s="1"/>
  <c r="E47" i="11"/>
  <c r="H47" i="11" s="1"/>
  <c r="E46" i="11"/>
  <c r="H46" i="11" s="1"/>
  <c r="E45" i="11"/>
  <c r="H45" i="11" s="1"/>
  <c r="E44" i="11"/>
  <c r="H44" i="11" s="1"/>
  <c r="E43" i="11"/>
  <c r="H43" i="11" s="1"/>
  <c r="E42" i="11"/>
  <c r="H42" i="11" s="1"/>
  <c r="E41" i="11"/>
  <c r="C28" i="11"/>
  <c r="C10" i="20" s="1"/>
  <c r="C27" i="11"/>
  <c r="C9" i="20" s="1"/>
  <c r="E28" i="8"/>
  <c r="F34" i="14" l="1"/>
  <c r="G34" i="14"/>
  <c r="H10" i="20"/>
  <c r="G38" i="9"/>
  <c r="G65" i="9" s="1"/>
  <c r="E65" i="9"/>
  <c r="H41" i="11"/>
  <c r="H68" i="11" s="1"/>
  <c r="E68" i="11"/>
  <c r="F28" i="8"/>
  <c r="H28" i="8" l="1"/>
  <c r="G13" i="20" s="1"/>
  <c r="G14" i="20"/>
  <c r="D14" i="20"/>
  <c r="I65" i="9"/>
  <c r="D13" i="20" s="1"/>
  <c r="J68" i="11"/>
  <c r="C13" i="20" s="1"/>
  <c r="C14" i="20"/>
  <c r="H14" i="20" s="1"/>
  <c r="B12" i="5"/>
  <c r="B17" i="5" s="1"/>
  <c r="B19" i="6"/>
  <c r="D53" i="6" s="1"/>
  <c r="F53" i="6" s="1"/>
  <c r="E203" i="7"/>
  <c r="E202" i="7"/>
  <c r="E201" i="7"/>
  <c r="E200" i="7"/>
  <c r="E199" i="7"/>
  <c r="E198" i="7"/>
  <c r="E197" i="7"/>
  <c r="E196" i="7"/>
  <c r="E204" i="7" s="1"/>
  <c r="G216" i="7" s="1"/>
  <c r="E194" i="7"/>
  <c r="E193" i="7"/>
  <c r="E192" i="7"/>
  <c r="E190" i="7"/>
  <c r="B189" i="7"/>
  <c r="E189" i="7" s="1"/>
  <c r="E216" i="7" s="1"/>
  <c r="B188" i="7"/>
  <c r="E188" i="7" s="1"/>
  <c r="D216" i="7" s="1"/>
  <c r="B187" i="7"/>
  <c r="E187" i="7" s="1"/>
  <c r="C216" i="7" s="1"/>
  <c r="B186" i="7"/>
  <c r="E186" i="7" s="1"/>
  <c r="B216" i="7" s="1"/>
  <c r="B185" i="7"/>
  <c r="E185" i="7" s="1"/>
  <c r="A216" i="7" s="1"/>
  <c r="E164" i="7"/>
  <c r="D164" i="7"/>
  <c r="C164" i="7"/>
  <c r="B164" i="7"/>
  <c r="A164" i="7"/>
  <c r="E151" i="7"/>
  <c r="E150" i="7"/>
  <c r="E149" i="7"/>
  <c r="E148" i="7"/>
  <c r="E147" i="7"/>
  <c r="G146" i="7"/>
  <c r="E146" i="7"/>
  <c r="E145" i="7"/>
  <c r="E144" i="7"/>
  <c r="E152" i="7" s="1"/>
  <c r="G164" i="7" s="1"/>
  <c r="E142" i="7"/>
  <c r="E141" i="7"/>
  <c r="E140" i="7"/>
  <c r="G142" i="7" s="1"/>
  <c r="G143" i="7" s="1"/>
  <c r="B19" i="7"/>
  <c r="D41" i="7" s="1"/>
  <c r="F41" i="7" s="1"/>
  <c r="B12" i="7"/>
  <c r="B17" i="7" s="1"/>
  <c r="C32" i="7" s="1"/>
  <c r="F29" i="20" s="1"/>
  <c r="E203" i="6"/>
  <c r="E202" i="6"/>
  <c r="E201" i="6"/>
  <c r="E200" i="6"/>
  <c r="E199" i="6"/>
  <c r="E198" i="6"/>
  <c r="E197" i="6"/>
  <c r="E196" i="6"/>
  <c r="E194" i="6"/>
  <c r="E193" i="6"/>
  <c r="E192" i="6"/>
  <c r="F216" i="6" s="1"/>
  <c r="E190" i="6"/>
  <c r="B189" i="6"/>
  <c r="E189" i="6" s="1"/>
  <c r="E216" i="6" s="1"/>
  <c r="B188" i="6"/>
  <c r="E188" i="6" s="1"/>
  <c r="D216" i="6" s="1"/>
  <c r="B187" i="6"/>
  <c r="E187" i="6" s="1"/>
  <c r="C216" i="6" s="1"/>
  <c r="B186" i="6"/>
  <c r="E186" i="6" s="1"/>
  <c r="B216" i="6" s="1"/>
  <c r="B185" i="6"/>
  <c r="E185" i="6" s="1"/>
  <c r="A216" i="6" s="1"/>
  <c r="F164" i="6"/>
  <c r="E164" i="6"/>
  <c r="D164" i="6"/>
  <c r="C164" i="6"/>
  <c r="B164" i="6"/>
  <c r="A164" i="6"/>
  <c r="E151" i="6"/>
  <c r="E150" i="6"/>
  <c r="E149" i="6"/>
  <c r="E148" i="6"/>
  <c r="E147" i="6"/>
  <c r="G146" i="6"/>
  <c r="E146" i="6"/>
  <c r="E145" i="6"/>
  <c r="E144" i="6"/>
  <c r="E152" i="6" s="1"/>
  <c r="G164" i="6" s="1"/>
  <c r="E142" i="6"/>
  <c r="E141" i="6"/>
  <c r="E140" i="6"/>
  <c r="G142" i="6" s="1"/>
  <c r="G143" i="6" s="1"/>
  <c r="E203" i="5"/>
  <c r="E202" i="5"/>
  <c r="E201" i="5"/>
  <c r="E200" i="5"/>
  <c r="E199" i="5"/>
  <c r="E198" i="5"/>
  <c r="E197" i="5"/>
  <c r="E196" i="5"/>
  <c r="E194" i="5"/>
  <c r="E193" i="5"/>
  <c r="E192" i="5"/>
  <c r="E190" i="5"/>
  <c r="B189" i="5"/>
  <c r="E189" i="5" s="1"/>
  <c r="E216" i="5" s="1"/>
  <c r="B188" i="5"/>
  <c r="E188" i="5" s="1"/>
  <c r="D216" i="5" s="1"/>
  <c r="B187" i="5"/>
  <c r="E187" i="5" s="1"/>
  <c r="C216" i="5" s="1"/>
  <c r="B186" i="5"/>
  <c r="E186" i="5" s="1"/>
  <c r="B216" i="5" s="1"/>
  <c r="B185" i="5"/>
  <c r="E185" i="5" s="1"/>
  <c r="A216" i="5" s="1"/>
  <c r="E164" i="5"/>
  <c r="D164" i="5"/>
  <c r="C164" i="5"/>
  <c r="B164" i="5"/>
  <c r="A164" i="5"/>
  <c r="E151" i="5"/>
  <c r="E150" i="5"/>
  <c r="E149" i="5"/>
  <c r="E148" i="5"/>
  <c r="E147" i="5"/>
  <c r="G146" i="5"/>
  <c r="E146" i="5"/>
  <c r="E145" i="5"/>
  <c r="E144" i="5"/>
  <c r="E152" i="5" s="1"/>
  <c r="G164" i="5" s="1"/>
  <c r="E142" i="5"/>
  <c r="E141" i="5"/>
  <c r="E140" i="5"/>
  <c r="G142" i="5" s="1"/>
  <c r="G143" i="5" s="1"/>
  <c r="F216" i="7" l="1"/>
  <c r="E204" i="5"/>
  <c r="G216" i="5" s="1"/>
  <c r="E204" i="6"/>
  <c r="G216" i="6" s="1"/>
  <c r="H13" i="20"/>
  <c r="F164" i="7"/>
  <c r="B19" i="5"/>
  <c r="D39" i="5" s="1"/>
  <c r="F39" i="5" s="1"/>
  <c r="B12" i="6"/>
  <c r="B13" i="6" s="1"/>
  <c r="B18" i="6" s="1"/>
  <c r="E49" i="6" s="1"/>
  <c r="G49" i="6" s="1"/>
  <c r="D39" i="7"/>
  <c r="F39" i="7" s="1"/>
  <c r="D43" i="7"/>
  <c r="F43" i="7" s="1"/>
  <c r="D47" i="7"/>
  <c r="F47" i="7" s="1"/>
  <c r="D51" i="7"/>
  <c r="F51" i="7" s="1"/>
  <c r="D55" i="7"/>
  <c r="F55" i="7" s="1"/>
  <c r="D59" i="7"/>
  <c r="F59" i="7" s="1"/>
  <c r="D63" i="7"/>
  <c r="F63" i="7" s="1"/>
  <c r="B13" i="7"/>
  <c r="B18" i="7" s="1"/>
  <c r="D40" i="7"/>
  <c r="F40" i="7" s="1"/>
  <c r="D48" i="7"/>
  <c r="F48" i="7" s="1"/>
  <c r="D52" i="7"/>
  <c r="F52" i="7" s="1"/>
  <c r="D56" i="7"/>
  <c r="F56" i="7" s="1"/>
  <c r="D60" i="7"/>
  <c r="F60" i="7" s="1"/>
  <c r="D64" i="7"/>
  <c r="F64" i="7" s="1"/>
  <c r="D44" i="7"/>
  <c r="F44" i="7" s="1"/>
  <c r="D49" i="7"/>
  <c r="F49" i="7" s="1"/>
  <c r="D53" i="7"/>
  <c r="F53" i="7" s="1"/>
  <c r="D57" i="7"/>
  <c r="F57" i="7" s="1"/>
  <c r="D61" i="7"/>
  <c r="F61" i="7" s="1"/>
  <c r="D38" i="7"/>
  <c r="D42" i="7"/>
  <c r="F42" i="7" s="1"/>
  <c r="D46" i="7"/>
  <c r="F46" i="7" s="1"/>
  <c r="D50" i="7"/>
  <c r="F50" i="7" s="1"/>
  <c r="D54" i="7"/>
  <c r="F54" i="7" s="1"/>
  <c r="D58" i="7"/>
  <c r="F58" i="7" s="1"/>
  <c r="D62" i="7"/>
  <c r="F62" i="7" s="1"/>
  <c r="D45" i="7"/>
  <c r="F45" i="7" s="1"/>
  <c r="D47" i="6"/>
  <c r="F47" i="6" s="1"/>
  <c r="D52" i="6"/>
  <c r="F52" i="6" s="1"/>
  <c r="D56" i="6"/>
  <c r="F56" i="6" s="1"/>
  <c r="D60" i="6"/>
  <c r="F60" i="6" s="1"/>
  <c r="D40" i="6"/>
  <c r="F40" i="6" s="1"/>
  <c r="D48" i="6"/>
  <c r="F48" i="6" s="1"/>
  <c r="D63" i="6"/>
  <c r="F63" i="6" s="1"/>
  <c r="D43" i="6"/>
  <c r="F43" i="6" s="1"/>
  <c r="D51" i="6"/>
  <c r="F51" i="6" s="1"/>
  <c r="D64" i="6"/>
  <c r="F64" i="6" s="1"/>
  <c r="D44" i="6"/>
  <c r="F44" i="6" s="1"/>
  <c r="D55" i="6"/>
  <c r="F55" i="6" s="1"/>
  <c r="D59" i="6"/>
  <c r="F59" i="6" s="1"/>
  <c r="D39" i="6"/>
  <c r="F39" i="6" s="1"/>
  <c r="D49" i="6"/>
  <c r="F49" i="6" s="1"/>
  <c r="D38" i="6"/>
  <c r="D42" i="6"/>
  <c r="F42" i="6" s="1"/>
  <c r="D46" i="6"/>
  <c r="F46" i="6" s="1"/>
  <c r="D50" i="6"/>
  <c r="F50" i="6" s="1"/>
  <c r="D54" i="6"/>
  <c r="F54" i="6" s="1"/>
  <c r="D58" i="6"/>
  <c r="F58" i="6" s="1"/>
  <c r="D62" i="6"/>
  <c r="F62" i="6" s="1"/>
  <c r="D41" i="6"/>
  <c r="F41" i="6" s="1"/>
  <c r="D45" i="6"/>
  <c r="F45" i="6" s="1"/>
  <c r="D57" i="6"/>
  <c r="F57" i="6" s="1"/>
  <c r="D61" i="6"/>
  <c r="F61" i="6" s="1"/>
  <c r="C32" i="5"/>
  <c r="C29" i="20" s="1"/>
  <c r="F164" i="5"/>
  <c r="F216" i="5"/>
  <c r="B13" i="5"/>
  <c r="B18" i="5" s="1"/>
  <c r="E60" i="5" s="1"/>
  <c r="G60" i="5" s="1"/>
  <c r="D50" i="5" l="1"/>
  <c r="F50" i="5" s="1"/>
  <c r="D58" i="5"/>
  <c r="F58" i="5" s="1"/>
  <c r="D59" i="5"/>
  <c r="F59" i="5" s="1"/>
  <c r="D47" i="5"/>
  <c r="F47" i="5" s="1"/>
  <c r="D60" i="5"/>
  <c r="F60" i="5" s="1"/>
  <c r="D48" i="5"/>
  <c r="F48" i="5" s="1"/>
  <c r="D41" i="5"/>
  <c r="F41" i="5" s="1"/>
  <c r="D57" i="5"/>
  <c r="F57" i="5" s="1"/>
  <c r="D63" i="5"/>
  <c r="F63" i="5" s="1"/>
  <c r="D38" i="5"/>
  <c r="F38" i="5" s="1"/>
  <c r="D55" i="5"/>
  <c r="F55" i="5" s="1"/>
  <c r="D45" i="5"/>
  <c r="F45" i="5" s="1"/>
  <c r="D56" i="5"/>
  <c r="F56" i="5" s="1"/>
  <c r="D44" i="5"/>
  <c r="F44" i="5" s="1"/>
  <c r="D40" i="5"/>
  <c r="D51" i="5"/>
  <c r="F51" i="5" s="1"/>
  <c r="D46" i="5"/>
  <c r="F46" i="5" s="1"/>
  <c r="D62" i="5"/>
  <c r="F62" i="5" s="1"/>
  <c r="D54" i="5"/>
  <c r="F54" i="5" s="1"/>
  <c r="D43" i="5"/>
  <c r="F43" i="5" s="1"/>
  <c r="D52" i="5"/>
  <c r="F52" i="5" s="1"/>
  <c r="D64" i="5"/>
  <c r="F64" i="5" s="1"/>
  <c r="D49" i="5"/>
  <c r="F49" i="5" s="1"/>
  <c r="D42" i="5"/>
  <c r="F42" i="5" s="1"/>
  <c r="D61" i="5"/>
  <c r="F61" i="5" s="1"/>
  <c r="D53" i="5"/>
  <c r="F53" i="5" s="1"/>
  <c r="E53" i="6"/>
  <c r="G53" i="6" s="1"/>
  <c r="E54" i="6"/>
  <c r="G54" i="6" s="1"/>
  <c r="B17" i="6"/>
  <c r="C32" i="6" s="1"/>
  <c r="D29" i="20" s="1"/>
  <c r="E60" i="6"/>
  <c r="G60" i="6" s="1"/>
  <c r="E56" i="6"/>
  <c r="G56" i="6" s="1"/>
  <c r="E46" i="6"/>
  <c r="G46" i="6" s="1"/>
  <c r="E62" i="6"/>
  <c r="G62" i="6" s="1"/>
  <c r="E44" i="6"/>
  <c r="G44" i="6" s="1"/>
  <c r="E55" i="6"/>
  <c r="G55" i="6" s="1"/>
  <c r="E47" i="6"/>
  <c r="G47" i="6" s="1"/>
  <c r="E41" i="6"/>
  <c r="G41" i="6" s="1"/>
  <c r="E45" i="6"/>
  <c r="G45" i="6" s="1"/>
  <c r="E50" i="6"/>
  <c r="G50" i="6" s="1"/>
  <c r="E43" i="6"/>
  <c r="G43" i="6" s="1"/>
  <c r="E59" i="6"/>
  <c r="G59" i="6" s="1"/>
  <c r="E38" i="6"/>
  <c r="G38" i="6" s="1"/>
  <c r="E48" i="6"/>
  <c r="G48" i="6" s="1"/>
  <c r="E61" i="6"/>
  <c r="G61" i="6" s="1"/>
  <c r="E42" i="6"/>
  <c r="G42" i="6" s="1"/>
  <c r="E58" i="6"/>
  <c r="G58" i="6" s="1"/>
  <c r="E40" i="6"/>
  <c r="G40" i="6" s="1"/>
  <c r="E64" i="6"/>
  <c r="G64" i="6" s="1"/>
  <c r="E63" i="6"/>
  <c r="G63" i="6" s="1"/>
  <c r="C23" i="6"/>
  <c r="D24" i="20" s="1"/>
  <c r="E57" i="6"/>
  <c r="G57" i="6" s="1"/>
  <c r="E51" i="6"/>
  <c r="G51" i="6" s="1"/>
  <c r="C25" i="6"/>
  <c r="D26" i="20" s="1"/>
  <c r="E52" i="6"/>
  <c r="G52" i="6" s="1"/>
  <c r="C24" i="6"/>
  <c r="D25" i="20" s="1"/>
  <c r="C27" i="6"/>
  <c r="D28" i="20" s="1"/>
  <c r="C26" i="6"/>
  <c r="D27" i="20" s="1"/>
  <c r="E39" i="6"/>
  <c r="G39" i="6" s="1"/>
  <c r="F38" i="7"/>
  <c r="D65" i="7"/>
  <c r="E41" i="7"/>
  <c r="G41" i="7" s="1"/>
  <c r="E44" i="7"/>
  <c r="G44" i="7" s="1"/>
  <c r="C26" i="7"/>
  <c r="F27" i="20" s="1"/>
  <c r="E56" i="7"/>
  <c r="G56" i="7" s="1"/>
  <c r="E62" i="7"/>
  <c r="G62" i="7" s="1"/>
  <c r="E58" i="7"/>
  <c r="G58" i="7" s="1"/>
  <c r="E54" i="7"/>
  <c r="G54" i="7" s="1"/>
  <c r="E50" i="7"/>
  <c r="G50" i="7" s="1"/>
  <c r="E46" i="7"/>
  <c r="G46" i="7" s="1"/>
  <c r="E42" i="7"/>
  <c r="G42" i="7" s="1"/>
  <c r="E38" i="7"/>
  <c r="E61" i="7"/>
  <c r="G61" i="7" s="1"/>
  <c r="E48" i="7"/>
  <c r="G48" i="7" s="1"/>
  <c r="E57" i="7"/>
  <c r="G57" i="7" s="1"/>
  <c r="C23" i="7"/>
  <c r="F24" i="20" s="1"/>
  <c r="C27" i="7"/>
  <c r="F28" i="20" s="1"/>
  <c r="E53" i="7"/>
  <c r="G53" i="7" s="1"/>
  <c r="C24" i="7"/>
  <c r="F25" i="20" s="1"/>
  <c r="E49" i="7"/>
  <c r="G49" i="7" s="1"/>
  <c r="E45" i="7"/>
  <c r="G45" i="7" s="1"/>
  <c r="E60" i="7"/>
  <c r="G60" i="7" s="1"/>
  <c r="C25" i="7"/>
  <c r="F26" i="20" s="1"/>
  <c r="E40" i="7"/>
  <c r="G40" i="7" s="1"/>
  <c r="E64" i="7"/>
  <c r="G64" i="7" s="1"/>
  <c r="E52" i="7"/>
  <c r="G52" i="7" s="1"/>
  <c r="E63" i="7"/>
  <c r="G63" i="7" s="1"/>
  <c r="E59" i="7"/>
  <c r="G59" i="7" s="1"/>
  <c r="E55" i="7"/>
  <c r="G55" i="7" s="1"/>
  <c r="E51" i="7"/>
  <c r="G51" i="7" s="1"/>
  <c r="E47" i="7"/>
  <c r="G47" i="7" s="1"/>
  <c r="E43" i="7"/>
  <c r="G43" i="7" s="1"/>
  <c r="E39" i="7"/>
  <c r="G39" i="7" s="1"/>
  <c r="D65" i="6"/>
  <c r="F38" i="6"/>
  <c r="F65" i="6" s="1"/>
  <c r="E64" i="5"/>
  <c r="G64" i="5" s="1"/>
  <c r="E59" i="5"/>
  <c r="G59" i="5" s="1"/>
  <c r="E55" i="5"/>
  <c r="G55" i="5" s="1"/>
  <c r="E51" i="5"/>
  <c r="G51" i="5" s="1"/>
  <c r="E47" i="5"/>
  <c r="G47" i="5" s="1"/>
  <c r="E43" i="5"/>
  <c r="G43" i="5" s="1"/>
  <c r="E39" i="5"/>
  <c r="G39" i="5" s="1"/>
  <c r="E63" i="5"/>
  <c r="G63" i="5" s="1"/>
  <c r="E58" i="5"/>
  <c r="G58" i="5" s="1"/>
  <c r="E54" i="5"/>
  <c r="G54" i="5" s="1"/>
  <c r="E50" i="5"/>
  <c r="G50" i="5" s="1"/>
  <c r="E46" i="5"/>
  <c r="G46" i="5" s="1"/>
  <c r="E42" i="5"/>
  <c r="G42" i="5" s="1"/>
  <c r="E38" i="5"/>
  <c r="E62" i="5"/>
  <c r="G62" i="5" s="1"/>
  <c r="E57" i="5"/>
  <c r="G57" i="5" s="1"/>
  <c r="E53" i="5"/>
  <c r="G53" i="5" s="1"/>
  <c r="E49" i="5"/>
  <c r="G49" i="5" s="1"/>
  <c r="E45" i="5"/>
  <c r="G45" i="5" s="1"/>
  <c r="E41" i="5"/>
  <c r="G41" i="5" s="1"/>
  <c r="C27" i="5"/>
  <c r="C28" i="20" s="1"/>
  <c r="C26" i="5"/>
  <c r="C27" i="20" s="1"/>
  <c r="C25" i="5"/>
  <c r="C26" i="20" s="1"/>
  <c r="E61" i="5"/>
  <c r="G61" i="5" s="1"/>
  <c r="C24" i="5"/>
  <c r="C25" i="20" s="1"/>
  <c r="E56" i="5"/>
  <c r="G56" i="5" s="1"/>
  <c r="E52" i="5"/>
  <c r="G52" i="5" s="1"/>
  <c r="E48" i="5"/>
  <c r="G48" i="5" s="1"/>
  <c r="E44" i="5"/>
  <c r="G44" i="5" s="1"/>
  <c r="E40" i="5"/>
  <c r="G40" i="5" s="1"/>
  <c r="C23" i="5"/>
  <c r="C24" i="20" s="1"/>
  <c r="F65" i="7" l="1"/>
  <c r="D65" i="5"/>
  <c r="F40" i="5"/>
  <c r="F65" i="5" s="1"/>
  <c r="E65" i="6"/>
  <c r="G65" i="6"/>
  <c r="G38" i="7"/>
  <c r="E65" i="7"/>
  <c r="G38" i="5"/>
  <c r="G65" i="5" s="1"/>
  <c r="E65" i="5"/>
  <c r="G65" i="7" l="1"/>
  <c r="B12" i="10"/>
  <c r="B17" i="10" s="1"/>
  <c r="C32" i="10" s="1"/>
  <c r="E29" i="20" s="1"/>
  <c r="G29" i="20" s="1"/>
  <c r="B19" i="10"/>
  <c r="D64" i="10" s="1"/>
  <c r="F64" i="10" s="1"/>
  <c r="D38" i="10" l="1"/>
  <c r="B13" i="10"/>
  <c r="B18" i="10" s="1"/>
  <c r="D42" i="10"/>
  <c r="F42" i="10" s="1"/>
  <c r="D62" i="10"/>
  <c r="F62" i="10" s="1"/>
  <c r="D54" i="10"/>
  <c r="F54" i="10" s="1"/>
  <c r="D46" i="10"/>
  <c r="F46" i="10" s="1"/>
  <c r="D56" i="10"/>
  <c r="F56" i="10" s="1"/>
  <c r="D59" i="10"/>
  <c r="F59" i="10" s="1"/>
  <c r="D39" i="10"/>
  <c r="F39" i="10" s="1"/>
  <c r="D57" i="10"/>
  <c r="F57" i="10" s="1"/>
  <c r="D49" i="10"/>
  <c r="F49" i="10" s="1"/>
  <c r="D40" i="10"/>
  <c r="F40" i="10" s="1"/>
  <c r="D52" i="10"/>
  <c r="F52" i="10" s="1"/>
  <c r="D63" i="10"/>
  <c r="F63" i="10" s="1"/>
  <c r="D51" i="10"/>
  <c r="F51" i="10" s="1"/>
  <c r="D43" i="10"/>
  <c r="F43" i="10" s="1"/>
  <c r="D58" i="10"/>
  <c r="F58" i="10" s="1"/>
  <c r="D50" i="10"/>
  <c r="F50" i="10" s="1"/>
  <c r="D41" i="10"/>
  <c r="F41" i="10" s="1"/>
  <c r="D44" i="10"/>
  <c r="F44" i="10" s="1"/>
  <c r="D47" i="10"/>
  <c r="F47" i="10" s="1"/>
  <c r="D61" i="10"/>
  <c r="F61" i="10" s="1"/>
  <c r="D53" i="10"/>
  <c r="F53" i="10" s="1"/>
  <c r="D45" i="10"/>
  <c r="F45" i="10" s="1"/>
  <c r="D60" i="10"/>
  <c r="F60" i="10" s="1"/>
  <c r="D48" i="10"/>
  <c r="F48" i="10" s="1"/>
  <c r="D55" i="10"/>
  <c r="F55" i="10" s="1"/>
  <c r="F22" i="14" l="1"/>
  <c r="H22" i="14"/>
  <c r="H25" i="14" s="1"/>
  <c r="C27" i="10"/>
  <c r="E28" i="20" s="1"/>
  <c r="G28" i="20" s="1"/>
  <c r="C24" i="10"/>
  <c r="E25" i="20" s="1"/>
  <c r="G25" i="20" s="1"/>
  <c r="E42" i="10"/>
  <c r="G42" i="10" s="1"/>
  <c r="E62" i="10"/>
  <c r="G62" i="10" s="1"/>
  <c r="E43" i="10"/>
  <c r="G43" i="10" s="1"/>
  <c r="E51" i="10"/>
  <c r="G51" i="10" s="1"/>
  <c r="E59" i="10"/>
  <c r="G59" i="10" s="1"/>
  <c r="E54" i="10"/>
  <c r="G54" i="10" s="1"/>
  <c r="E44" i="10"/>
  <c r="G44" i="10" s="1"/>
  <c r="E52" i="10"/>
  <c r="G52" i="10" s="1"/>
  <c r="E60" i="10"/>
  <c r="G60" i="10" s="1"/>
  <c r="E46" i="10"/>
  <c r="G46" i="10" s="1"/>
  <c r="E41" i="10"/>
  <c r="G41" i="10" s="1"/>
  <c r="E49" i="10"/>
  <c r="G49" i="10" s="1"/>
  <c r="E57" i="10"/>
  <c r="G57" i="10" s="1"/>
  <c r="E61" i="10"/>
  <c r="G61" i="10" s="1"/>
  <c r="C25" i="10"/>
  <c r="E26" i="20" s="1"/>
  <c r="G26" i="20" s="1"/>
  <c r="E38" i="10"/>
  <c r="C26" i="10"/>
  <c r="E27" i="20" s="1"/>
  <c r="G27" i="20" s="1"/>
  <c r="C23" i="10"/>
  <c r="E24" i="20" s="1"/>
  <c r="G24" i="20" s="1"/>
  <c r="E50" i="10"/>
  <c r="G50" i="10" s="1"/>
  <c r="E39" i="10"/>
  <c r="G39" i="10" s="1"/>
  <c r="E47" i="10"/>
  <c r="G47" i="10" s="1"/>
  <c r="E55" i="10"/>
  <c r="G55" i="10" s="1"/>
  <c r="E63" i="10"/>
  <c r="G63" i="10" s="1"/>
  <c r="E40" i="10"/>
  <c r="G40" i="10" s="1"/>
  <c r="E48" i="10"/>
  <c r="G48" i="10" s="1"/>
  <c r="E56" i="10"/>
  <c r="G56" i="10" s="1"/>
  <c r="E64" i="10"/>
  <c r="G64" i="10" s="1"/>
  <c r="E58" i="10"/>
  <c r="G58" i="10" s="1"/>
  <c r="E45" i="10"/>
  <c r="G45" i="10" s="1"/>
  <c r="E53" i="10"/>
  <c r="G53" i="10" s="1"/>
  <c r="F38" i="10"/>
  <c r="F65" i="10" s="1"/>
  <c r="D65" i="10"/>
  <c r="H9" i="20" l="1"/>
  <c r="E65" i="10"/>
  <c r="G38" i="10"/>
  <c r="G65"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John Browning</author>
  </authors>
  <commentList>
    <comment ref="B143" authorId="0" shapeId="0" xr:uid="{FB1C99C4-BE7B-964A-9644-76888BB87248}">
      <text>
        <r>
          <rPr>
            <b/>
            <sz val="9"/>
            <color indexed="81"/>
            <rFont val="Calibri"/>
            <family val="2"/>
          </rPr>
          <t>John Browning:</t>
        </r>
        <r>
          <rPr>
            <sz val="9"/>
            <color indexed="81"/>
            <rFont val="Calibri"/>
            <family val="2"/>
          </rPr>
          <t xml:space="preserve">
0.003 kg/MMBtu
0.138 MMBtu/gal
GWP = 25
Emission Factor in RR appears incorrect</t>
        </r>
      </text>
    </comment>
    <comment ref="B144" authorId="0" shapeId="0" xr:uid="{B8A8B813-07DD-0B4E-8902-126F9FD9F6A8}">
      <text>
        <r>
          <rPr>
            <b/>
            <sz val="9"/>
            <color indexed="81"/>
            <rFont val="Calibri"/>
            <family val="2"/>
          </rPr>
          <t>John Browning:</t>
        </r>
        <r>
          <rPr>
            <sz val="9"/>
            <color indexed="81"/>
            <rFont val="Calibri"/>
            <family val="2"/>
          </rPr>
          <t xml:space="preserve">
073.96 kg/MMBtu
0.138 MMBtu/gal
</t>
        </r>
      </text>
    </comment>
    <comment ref="B145" authorId="0" shapeId="0" xr:uid="{AE6483B2-EA26-194A-AF60-A66A16D187FC}">
      <text>
        <r>
          <rPr>
            <b/>
            <sz val="9"/>
            <color indexed="81"/>
            <rFont val="Calibri"/>
            <family val="2"/>
          </rPr>
          <t>John Browning:</t>
        </r>
        <r>
          <rPr>
            <sz val="9"/>
            <color indexed="81"/>
            <rFont val="Calibri"/>
            <family val="2"/>
          </rPr>
          <t xml:space="preserve">
0.0006 kg/MMBtu
0.138 MMBtu/gal
GWP = 298
Emission Factor in RR appears incorrect</t>
        </r>
      </text>
    </comment>
    <comment ref="B195" authorId="0" shapeId="0" xr:uid="{1A9BAD5E-EA04-9F49-8F9F-B6AC53125764}">
      <text>
        <r>
          <rPr>
            <b/>
            <sz val="9"/>
            <color indexed="81"/>
            <rFont val="Calibri"/>
            <family val="2"/>
          </rPr>
          <t>John Browning:</t>
        </r>
        <r>
          <rPr>
            <sz val="9"/>
            <color indexed="81"/>
            <rFont val="Calibri"/>
            <family val="2"/>
          </rPr>
          <t xml:space="preserve">
0.003 kg/MMBtu
0.138 MMBtu/gal
GWP = 25
Emission Factor in RR appears incorrect</t>
        </r>
      </text>
    </comment>
    <comment ref="B196" authorId="0" shapeId="0" xr:uid="{CD89E76C-C1C5-3945-8792-58E9B3FE4EC8}">
      <text>
        <r>
          <rPr>
            <b/>
            <sz val="9"/>
            <color indexed="81"/>
            <rFont val="Calibri"/>
            <family val="2"/>
          </rPr>
          <t>John Browning:</t>
        </r>
        <r>
          <rPr>
            <sz val="9"/>
            <color indexed="81"/>
            <rFont val="Calibri"/>
            <family val="2"/>
          </rPr>
          <t xml:space="preserve">
073.96 kg/MMBtu
0.138 MMBtu/gal
</t>
        </r>
      </text>
    </comment>
    <comment ref="B197" authorId="0" shapeId="0" xr:uid="{4CD50817-63A5-0540-95FC-2858E675CEBF}">
      <text>
        <r>
          <rPr>
            <b/>
            <sz val="9"/>
            <color indexed="81"/>
            <rFont val="Calibri"/>
            <family val="2"/>
          </rPr>
          <t>John Browning:</t>
        </r>
        <r>
          <rPr>
            <sz val="9"/>
            <color indexed="81"/>
            <rFont val="Calibri"/>
            <family val="2"/>
          </rPr>
          <t xml:space="preserve">
0.0006 kg/MMBtu
0.138 MMBtu/gal
GWP = 298
Emission Factor in RR appears incorrect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John Browning</author>
  </authors>
  <commentList>
    <comment ref="B140" authorId="0" shapeId="0" xr:uid="{AEB46D4D-5F54-804A-AA5C-6EDD62BE5754}">
      <text>
        <r>
          <rPr>
            <b/>
            <sz val="9"/>
            <color indexed="81"/>
            <rFont val="Calibri"/>
            <family val="2"/>
          </rPr>
          <t>John Browning:</t>
        </r>
        <r>
          <rPr>
            <sz val="9"/>
            <color indexed="81"/>
            <rFont val="Calibri"/>
            <family val="2"/>
          </rPr>
          <t xml:space="preserve">
0.003 kg/MMBtu
0.138 MMBtu/gal
GWP = 25
Emission Factor in RR appears incorrect</t>
        </r>
      </text>
    </comment>
    <comment ref="B141" authorId="0" shapeId="0" xr:uid="{C08DA884-0B35-154C-9B80-B273173A6AFA}">
      <text>
        <r>
          <rPr>
            <b/>
            <sz val="9"/>
            <color indexed="81"/>
            <rFont val="Calibri"/>
            <family val="2"/>
          </rPr>
          <t>John Browning:</t>
        </r>
        <r>
          <rPr>
            <sz val="9"/>
            <color indexed="81"/>
            <rFont val="Calibri"/>
            <family val="2"/>
          </rPr>
          <t xml:space="preserve">
073.96 kg/MMBtu
0.138 MMBtu/gal
</t>
        </r>
      </text>
    </comment>
    <comment ref="B142" authorId="0" shapeId="0" xr:uid="{A62EDB69-6E68-CD43-969E-801E2C411272}">
      <text>
        <r>
          <rPr>
            <b/>
            <sz val="9"/>
            <color indexed="81"/>
            <rFont val="Calibri"/>
            <family val="2"/>
          </rPr>
          <t>John Browning:</t>
        </r>
        <r>
          <rPr>
            <sz val="9"/>
            <color indexed="81"/>
            <rFont val="Calibri"/>
            <family val="2"/>
          </rPr>
          <t xml:space="preserve">
0.0006 kg/MMBtu
0.138 MMBtu/gal
GWP = 298
Emission Factor in RR appears incorrect</t>
        </r>
      </text>
    </comment>
    <comment ref="B192" authorId="0" shapeId="0" xr:uid="{88B67CC1-A707-BD4B-B522-6843AC60E5C6}">
      <text>
        <r>
          <rPr>
            <b/>
            <sz val="9"/>
            <color indexed="81"/>
            <rFont val="Calibri"/>
            <family val="2"/>
          </rPr>
          <t>John Browning:</t>
        </r>
        <r>
          <rPr>
            <sz val="9"/>
            <color indexed="81"/>
            <rFont val="Calibri"/>
            <family val="2"/>
          </rPr>
          <t xml:space="preserve">
0.003 kg/MMBtu
0.138 MMBtu/gal
GWP = 25
Emission Factor in RR appears incorrect</t>
        </r>
      </text>
    </comment>
    <comment ref="B193" authorId="0" shapeId="0" xr:uid="{5238C067-E06A-5C4E-9642-AADB42DFB3C1}">
      <text>
        <r>
          <rPr>
            <b/>
            <sz val="9"/>
            <color indexed="81"/>
            <rFont val="Calibri"/>
            <family val="2"/>
          </rPr>
          <t>John Browning:</t>
        </r>
        <r>
          <rPr>
            <sz val="9"/>
            <color indexed="81"/>
            <rFont val="Calibri"/>
            <family val="2"/>
          </rPr>
          <t xml:space="preserve">
073.96 kg/MMBtu
0.138 MMBtu/gal
</t>
        </r>
      </text>
    </comment>
    <comment ref="B194" authorId="0" shapeId="0" xr:uid="{0744EFE5-60D6-BD44-B75D-2A2155F04E7E}">
      <text>
        <r>
          <rPr>
            <b/>
            <sz val="9"/>
            <color indexed="81"/>
            <rFont val="Calibri"/>
            <family val="2"/>
          </rPr>
          <t>John Browning:</t>
        </r>
        <r>
          <rPr>
            <sz val="9"/>
            <color indexed="81"/>
            <rFont val="Calibri"/>
            <family val="2"/>
          </rPr>
          <t xml:space="preserve">
0.0006 kg/MMBtu
0.138 MMBtu/gal
GWP = 298
Emission Factor in RR appears incorrect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Candice Hatch</author>
  </authors>
  <commentList>
    <comment ref="E30" authorId="0" shapeId="0" xr:uid="{0F92528B-9E79-A444-88D6-BDE99D3F8918}">
      <text>
        <r>
          <rPr>
            <b/>
            <sz val="10"/>
            <color rgb="FF000000"/>
            <rFont val="Tahoma"/>
            <family val="2"/>
          </rPr>
          <t>Candice Hatch:</t>
        </r>
        <r>
          <rPr>
            <sz val="10"/>
            <color rgb="FF000000"/>
            <rFont val="Tahoma"/>
            <family val="2"/>
          </rPr>
          <t xml:space="preserve">
</t>
        </r>
        <r>
          <rPr>
            <sz val="10"/>
            <color rgb="FF000000"/>
            <rFont val="Tahoma"/>
            <family val="2"/>
          </rPr>
          <t>Assumed bath concentration based on vendor inforamtion that chemical used in small quantities.  1 gal/100 gal assumed to be conservative estimate.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John Browning</author>
  </authors>
  <commentList>
    <comment ref="B103" authorId="0" shapeId="0" xr:uid="{E9D06592-AAC2-DC47-A32E-A7DF56ACCD3D}">
      <text>
        <r>
          <rPr>
            <b/>
            <sz val="9"/>
            <color indexed="81"/>
            <rFont val="Calibri"/>
            <family val="2"/>
          </rPr>
          <t>John Browning:</t>
        </r>
        <r>
          <rPr>
            <sz val="9"/>
            <color indexed="81"/>
            <rFont val="Calibri"/>
            <family val="2"/>
          </rPr>
          <t xml:space="preserve">
0.003 kg/MMBtu
0.138 MMBtu/gal
GWP = 25
Emission Factor in RR appears incorrect</t>
        </r>
      </text>
    </comment>
    <comment ref="B104" authorId="0" shapeId="0" xr:uid="{4FF036D5-BEB9-694A-8483-2A4EA6858E61}">
      <text>
        <r>
          <rPr>
            <b/>
            <sz val="9"/>
            <color indexed="81"/>
            <rFont val="Calibri"/>
            <family val="2"/>
          </rPr>
          <t>John Browning:</t>
        </r>
        <r>
          <rPr>
            <sz val="9"/>
            <color indexed="81"/>
            <rFont val="Calibri"/>
            <family val="2"/>
          </rPr>
          <t xml:space="preserve">
073.96 kg/MMBtu
0.138 MMBtu/gal
</t>
        </r>
      </text>
    </comment>
    <comment ref="B105" authorId="0" shapeId="0" xr:uid="{655A3413-68A2-D841-9E10-B41745CB1470}">
      <text>
        <r>
          <rPr>
            <b/>
            <sz val="9"/>
            <color indexed="81"/>
            <rFont val="Calibri"/>
            <family val="2"/>
          </rPr>
          <t>John Browning:</t>
        </r>
        <r>
          <rPr>
            <sz val="9"/>
            <color indexed="81"/>
            <rFont val="Calibri"/>
            <family val="2"/>
          </rPr>
          <t xml:space="preserve">
0.0006 kg/MMBtu
0.138 MMBtu/gal
GWP = 298
Emission Factor in RR appears incorrect</t>
        </r>
      </text>
    </comment>
    <comment ref="B155" authorId="0" shapeId="0" xr:uid="{7489A2BC-544C-2241-97A0-F3A637E91F42}">
      <text>
        <r>
          <rPr>
            <b/>
            <sz val="9"/>
            <color indexed="81"/>
            <rFont val="Calibri"/>
            <family val="2"/>
          </rPr>
          <t>John Browning:</t>
        </r>
        <r>
          <rPr>
            <sz val="9"/>
            <color indexed="81"/>
            <rFont val="Calibri"/>
            <family val="2"/>
          </rPr>
          <t xml:space="preserve">
0.003 kg/MMBtu
0.138 MMBtu/gal
GWP = 25
Emission Factor in RR appears incorrect</t>
        </r>
      </text>
    </comment>
    <comment ref="B156" authorId="0" shapeId="0" xr:uid="{C37B2DA0-DD26-E648-BA41-7EF49D0E4D87}">
      <text>
        <r>
          <rPr>
            <b/>
            <sz val="9"/>
            <color indexed="81"/>
            <rFont val="Calibri"/>
            <family val="2"/>
          </rPr>
          <t>John Browning:</t>
        </r>
        <r>
          <rPr>
            <sz val="9"/>
            <color indexed="81"/>
            <rFont val="Calibri"/>
            <family val="2"/>
          </rPr>
          <t xml:space="preserve">
073.96 kg/MMBtu
0.138 MMBtu/gal
</t>
        </r>
      </text>
    </comment>
    <comment ref="B157" authorId="0" shapeId="0" xr:uid="{97D4F0C5-12AC-4F4A-90B8-C2C1F816B015}">
      <text>
        <r>
          <rPr>
            <b/>
            <sz val="9"/>
            <color indexed="81"/>
            <rFont val="Calibri"/>
            <family val="2"/>
          </rPr>
          <t>John Browning:</t>
        </r>
        <r>
          <rPr>
            <sz val="9"/>
            <color indexed="81"/>
            <rFont val="Calibri"/>
            <family val="2"/>
          </rPr>
          <t xml:space="preserve">
0.0006 kg/MMBtu
0.138 MMBtu/gal
GWP = 298
Emission Factor in RR appears incorrect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John Browning</author>
  </authors>
  <commentList>
    <comment ref="B140" authorId="0" shapeId="0" xr:uid="{84954EB9-6B69-F04D-8F03-24C8B628A989}">
      <text>
        <r>
          <rPr>
            <b/>
            <sz val="9"/>
            <color indexed="81"/>
            <rFont val="Calibri"/>
            <family val="2"/>
          </rPr>
          <t>John Browning:</t>
        </r>
        <r>
          <rPr>
            <sz val="9"/>
            <color indexed="81"/>
            <rFont val="Calibri"/>
            <family val="2"/>
          </rPr>
          <t xml:space="preserve">
0.003 kg/MMBtu
0.138 MMBtu/gal
GWP = 25
Emission Factor in RR appears incorrect</t>
        </r>
      </text>
    </comment>
    <comment ref="B141" authorId="0" shapeId="0" xr:uid="{818591FF-43FB-A048-86F3-3E7BEB05714A}">
      <text>
        <r>
          <rPr>
            <b/>
            <sz val="9"/>
            <color indexed="81"/>
            <rFont val="Calibri"/>
            <family val="2"/>
          </rPr>
          <t>John Browning:</t>
        </r>
        <r>
          <rPr>
            <sz val="9"/>
            <color indexed="81"/>
            <rFont val="Calibri"/>
            <family val="2"/>
          </rPr>
          <t xml:space="preserve">
073.96 kg/MMBtu
0.138 MMBtu/gal
</t>
        </r>
      </text>
    </comment>
    <comment ref="B142" authorId="0" shapeId="0" xr:uid="{4B93F623-8826-A14E-924B-0393B2D8756B}">
      <text>
        <r>
          <rPr>
            <b/>
            <sz val="9"/>
            <color indexed="81"/>
            <rFont val="Calibri"/>
            <family val="2"/>
          </rPr>
          <t>John Browning:</t>
        </r>
        <r>
          <rPr>
            <sz val="9"/>
            <color indexed="81"/>
            <rFont val="Calibri"/>
            <family val="2"/>
          </rPr>
          <t xml:space="preserve">
0.0006 kg/MMBtu
0.138 MMBtu/gal
GWP = 298
Emission Factor in RR appears incorrect</t>
        </r>
      </text>
    </comment>
    <comment ref="B192" authorId="0" shapeId="0" xr:uid="{5375FC56-B5A1-D94B-AE6F-DB222E8E35C7}">
      <text>
        <r>
          <rPr>
            <b/>
            <sz val="9"/>
            <color indexed="81"/>
            <rFont val="Calibri"/>
            <family val="2"/>
          </rPr>
          <t>John Browning:</t>
        </r>
        <r>
          <rPr>
            <sz val="9"/>
            <color indexed="81"/>
            <rFont val="Calibri"/>
            <family val="2"/>
          </rPr>
          <t xml:space="preserve">
0.003 kg/MMBtu
0.138 MMBtu/gal
GWP = 25
Emission Factor in RR appears incorrect</t>
        </r>
      </text>
    </comment>
    <comment ref="B193" authorId="0" shapeId="0" xr:uid="{6FFCB876-9227-C342-AC9D-3DDB52C2AC7E}">
      <text>
        <r>
          <rPr>
            <b/>
            <sz val="9"/>
            <color indexed="81"/>
            <rFont val="Calibri"/>
            <family val="2"/>
          </rPr>
          <t>John Browning:</t>
        </r>
        <r>
          <rPr>
            <sz val="9"/>
            <color indexed="81"/>
            <rFont val="Calibri"/>
            <family val="2"/>
          </rPr>
          <t xml:space="preserve">
073.96 kg/MMBtu
0.138 MMBtu/gal
</t>
        </r>
      </text>
    </comment>
    <comment ref="B194" authorId="0" shapeId="0" xr:uid="{90CA3634-0744-5D41-B0E1-77ED3F42F5EE}">
      <text>
        <r>
          <rPr>
            <b/>
            <sz val="9"/>
            <color indexed="81"/>
            <rFont val="Calibri"/>
            <family val="2"/>
          </rPr>
          <t>John Browning:</t>
        </r>
        <r>
          <rPr>
            <sz val="9"/>
            <color indexed="81"/>
            <rFont val="Calibri"/>
            <family val="2"/>
          </rPr>
          <t xml:space="preserve">
0.0006 kg/MMBtu
0.138 MMBtu/gal
GWP = 298
Emission Factor in RR appears incorrect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John Browning</author>
  </authors>
  <commentList>
    <comment ref="B140" authorId="0" shapeId="0" xr:uid="{57F71B8C-08FA-4943-821E-D42C0787C34F}">
      <text>
        <r>
          <rPr>
            <b/>
            <sz val="9"/>
            <color indexed="81"/>
            <rFont val="Calibri"/>
            <family val="2"/>
          </rPr>
          <t>John Browning:</t>
        </r>
        <r>
          <rPr>
            <sz val="9"/>
            <color indexed="81"/>
            <rFont val="Calibri"/>
            <family val="2"/>
          </rPr>
          <t xml:space="preserve">
0.003 kg/MMBtu
0.138 MMBtu/gal
GWP = 25
Emission Factor in RR appears incorrect</t>
        </r>
      </text>
    </comment>
    <comment ref="B141" authorId="0" shapeId="0" xr:uid="{1C3CA856-E8B4-E847-B32D-1977567C5169}">
      <text>
        <r>
          <rPr>
            <b/>
            <sz val="9"/>
            <color indexed="81"/>
            <rFont val="Calibri"/>
            <family val="2"/>
          </rPr>
          <t>John Browning:</t>
        </r>
        <r>
          <rPr>
            <sz val="9"/>
            <color indexed="81"/>
            <rFont val="Calibri"/>
            <family val="2"/>
          </rPr>
          <t xml:space="preserve">
073.96 kg/MMBtu
0.138 MMBtu/gal
</t>
        </r>
      </text>
    </comment>
    <comment ref="B142" authorId="0" shapeId="0" xr:uid="{328A3686-8130-244F-93C6-C65E7EAA39BB}">
      <text>
        <r>
          <rPr>
            <b/>
            <sz val="9"/>
            <color indexed="81"/>
            <rFont val="Calibri"/>
            <family val="2"/>
          </rPr>
          <t>John Browning:</t>
        </r>
        <r>
          <rPr>
            <sz val="9"/>
            <color indexed="81"/>
            <rFont val="Calibri"/>
            <family val="2"/>
          </rPr>
          <t xml:space="preserve">
0.0006 kg/MMBtu
0.138 MMBtu/gal
GWP = 298
Emission Factor in RR appears incorrect</t>
        </r>
      </text>
    </comment>
    <comment ref="B192" authorId="0" shapeId="0" xr:uid="{D78AD42F-28F3-4943-89AD-EC4D97C1AAAE}">
      <text>
        <r>
          <rPr>
            <b/>
            <sz val="9"/>
            <color indexed="81"/>
            <rFont val="Calibri"/>
            <family val="2"/>
          </rPr>
          <t>John Browning:</t>
        </r>
        <r>
          <rPr>
            <sz val="9"/>
            <color indexed="81"/>
            <rFont val="Calibri"/>
            <family val="2"/>
          </rPr>
          <t xml:space="preserve">
0.003 kg/MMBtu
0.138 MMBtu/gal
GWP = 25
Emission Factor in RR appears incorrect</t>
        </r>
      </text>
    </comment>
    <comment ref="B193" authorId="0" shapeId="0" xr:uid="{7D545A87-48A8-2648-B738-B57E6125F01F}">
      <text>
        <r>
          <rPr>
            <b/>
            <sz val="9"/>
            <color indexed="81"/>
            <rFont val="Calibri"/>
            <family val="2"/>
          </rPr>
          <t>John Browning:</t>
        </r>
        <r>
          <rPr>
            <sz val="9"/>
            <color indexed="81"/>
            <rFont val="Calibri"/>
            <family val="2"/>
          </rPr>
          <t xml:space="preserve">
073.96 kg/MMBtu
0.138 MMBtu/gal
</t>
        </r>
      </text>
    </comment>
    <comment ref="B194" authorId="0" shapeId="0" xr:uid="{29D150D5-6205-E84F-A00C-34BBD61B97F8}">
      <text>
        <r>
          <rPr>
            <b/>
            <sz val="9"/>
            <color indexed="81"/>
            <rFont val="Calibri"/>
            <family val="2"/>
          </rPr>
          <t>John Browning:</t>
        </r>
        <r>
          <rPr>
            <sz val="9"/>
            <color indexed="81"/>
            <rFont val="Calibri"/>
            <family val="2"/>
          </rPr>
          <t xml:space="preserve">
0.0006 kg/MMBtu
0.138 MMBtu/gal
GWP = 298
Emission Factor in RR appears incorrect</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John Browning</author>
  </authors>
  <commentList>
    <comment ref="B140" authorId="0" shapeId="0" xr:uid="{06546EA0-DF5E-C44D-A7ED-30AE45DC36B2}">
      <text>
        <r>
          <rPr>
            <b/>
            <sz val="9"/>
            <color indexed="81"/>
            <rFont val="Calibri"/>
            <family val="2"/>
          </rPr>
          <t>John Browning:</t>
        </r>
        <r>
          <rPr>
            <sz val="9"/>
            <color indexed="81"/>
            <rFont val="Calibri"/>
            <family val="2"/>
          </rPr>
          <t xml:space="preserve">
0.003 kg/MMBtu
0.138 MMBtu/gal
GWP = 25
Emission Factor in RR appears incorrect</t>
        </r>
      </text>
    </comment>
    <comment ref="B141" authorId="0" shapeId="0" xr:uid="{0EA03AF4-C4D9-5941-B4D6-BAD463935615}">
      <text>
        <r>
          <rPr>
            <b/>
            <sz val="9"/>
            <color indexed="81"/>
            <rFont val="Calibri"/>
            <family val="2"/>
          </rPr>
          <t>John Browning:</t>
        </r>
        <r>
          <rPr>
            <sz val="9"/>
            <color indexed="81"/>
            <rFont val="Calibri"/>
            <family val="2"/>
          </rPr>
          <t xml:space="preserve">
073.96 kg/MMBtu
0.138 MMBtu/gal
</t>
        </r>
      </text>
    </comment>
    <comment ref="B142" authorId="0" shapeId="0" xr:uid="{083CC056-BC31-0D4C-A928-F8E1C292762F}">
      <text>
        <r>
          <rPr>
            <b/>
            <sz val="9"/>
            <color indexed="81"/>
            <rFont val="Calibri"/>
            <family val="2"/>
          </rPr>
          <t>John Browning:</t>
        </r>
        <r>
          <rPr>
            <sz val="9"/>
            <color indexed="81"/>
            <rFont val="Calibri"/>
            <family val="2"/>
          </rPr>
          <t xml:space="preserve">
0.0006 kg/MMBtu
0.138 MMBtu/gal
GWP = 298
Emission Factor in RR appears incorrect</t>
        </r>
      </text>
    </comment>
    <comment ref="B192" authorId="0" shapeId="0" xr:uid="{C3BDB714-7CF6-C04E-BDA0-7C34CD5765E4}">
      <text>
        <r>
          <rPr>
            <b/>
            <sz val="9"/>
            <color indexed="81"/>
            <rFont val="Calibri"/>
            <family val="2"/>
          </rPr>
          <t>John Browning:</t>
        </r>
        <r>
          <rPr>
            <sz val="9"/>
            <color indexed="81"/>
            <rFont val="Calibri"/>
            <family val="2"/>
          </rPr>
          <t xml:space="preserve">
0.003 kg/MMBtu
0.138 MMBtu/gal
GWP = 25
Emission Factor in RR appears incorrect</t>
        </r>
      </text>
    </comment>
    <comment ref="B193" authorId="0" shapeId="0" xr:uid="{B068E465-8516-754A-9A5E-FAE9CC4E4814}">
      <text>
        <r>
          <rPr>
            <b/>
            <sz val="9"/>
            <color indexed="81"/>
            <rFont val="Calibri"/>
            <family val="2"/>
          </rPr>
          <t>John Browning:</t>
        </r>
        <r>
          <rPr>
            <sz val="9"/>
            <color indexed="81"/>
            <rFont val="Calibri"/>
            <family val="2"/>
          </rPr>
          <t xml:space="preserve">
073.96 kg/MMBtu
0.138 MMBtu/gal
</t>
        </r>
      </text>
    </comment>
    <comment ref="B194" authorId="0" shapeId="0" xr:uid="{9648AC0C-A265-034F-B066-B5BC015C138B}">
      <text>
        <r>
          <rPr>
            <b/>
            <sz val="9"/>
            <color indexed="81"/>
            <rFont val="Calibri"/>
            <family val="2"/>
          </rPr>
          <t>John Browning:</t>
        </r>
        <r>
          <rPr>
            <sz val="9"/>
            <color indexed="81"/>
            <rFont val="Calibri"/>
            <family val="2"/>
          </rPr>
          <t xml:space="preserve">
0.0006 kg/MMBtu
0.138 MMBtu/gal
GWP = 298
Emission Factor in RR appears incorrect</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John Browning</author>
  </authors>
  <commentList>
    <comment ref="B140" authorId="0" shapeId="0" xr:uid="{F1722AAD-E0CE-DB4F-827C-760C92327083}">
      <text>
        <r>
          <rPr>
            <b/>
            <sz val="9"/>
            <color indexed="81"/>
            <rFont val="Calibri"/>
            <family val="2"/>
          </rPr>
          <t>John Browning:</t>
        </r>
        <r>
          <rPr>
            <sz val="9"/>
            <color indexed="81"/>
            <rFont val="Calibri"/>
            <family val="2"/>
          </rPr>
          <t xml:space="preserve">
0.003 kg/MMBtu
0.138 MMBtu/gal
GWP = 25
Emission Factor in RR appears incorrect</t>
        </r>
      </text>
    </comment>
    <comment ref="B141" authorId="0" shapeId="0" xr:uid="{68394D0E-1DAD-3347-B29E-70390F84AE5D}">
      <text>
        <r>
          <rPr>
            <b/>
            <sz val="9"/>
            <color indexed="81"/>
            <rFont val="Calibri"/>
            <family val="2"/>
          </rPr>
          <t>John Browning:</t>
        </r>
        <r>
          <rPr>
            <sz val="9"/>
            <color indexed="81"/>
            <rFont val="Calibri"/>
            <family val="2"/>
          </rPr>
          <t xml:space="preserve">
073.96 kg/MMBtu
0.138 MMBtu/gal
</t>
        </r>
      </text>
    </comment>
    <comment ref="B142" authorId="0" shapeId="0" xr:uid="{C65E6A99-CAD9-C741-80C0-A32397055048}">
      <text>
        <r>
          <rPr>
            <b/>
            <sz val="9"/>
            <color indexed="81"/>
            <rFont val="Calibri"/>
            <family val="2"/>
          </rPr>
          <t>John Browning:</t>
        </r>
        <r>
          <rPr>
            <sz val="9"/>
            <color indexed="81"/>
            <rFont val="Calibri"/>
            <family val="2"/>
          </rPr>
          <t xml:space="preserve">
0.0006 kg/MMBtu
0.138 MMBtu/gal
GWP = 298
Emission Factor in RR appears incorrect</t>
        </r>
      </text>
    </comment>
    <comment ref="B192" authorId="0" shapeId="0" xr:uid="{20B4D034-4E13-334C-80C7-16F604AC7E65}">
      <text>
        <r>
          <rPr>
            <b/>
            <sz val="9"/>
            <color indexed="81"/>
            <rFont val="Calibri"/>
            <family val="2"/>
          </rPr>
          <t>John Browning:</t>
        </r>
        <r>
          <rPr>
            <sz val="9"/>
            <color indexed="81"/>
            <rFont val="Calibri"/>
            <family val="2"/>
          </rPr>
          <t xml:space="preserve">
0.003 kg/MMBtu
0.138 MMBtu/gal
GWP = 25
Emission Factor in RR appears incorrect</t>
        </r>
      </text>
    </comment>
    <comment ref="B193" authorId="0" shapeId="0" xr:uid="{8BA5CA0E-50B7-2B44-AF46-637349E15D17}">
      <text>
        <r>
          <rPr>
            <b/>
            <sz val="9"/>
            <color indexed="81"/>
            <rFont val="Calibri"/>
            <family val="2"/>
          </rPr>
          <t>John Browning:</t>
        </r>
        <r>
          <rPr>
            <sz val="9"/>
            <color indexed="81"/>
            <rFont val="Calibri"/>
            <family val="2"/>
          </rPr>
          <t xml:space="preserve">
073.96 kg/MMBtu
0.138 MMBtu/gal
</t>
        </r>
      </text>
    </comment>
    <comment ref="B194" authorId="0" shapeId="0" xr:uid="{8B0C3E56-C7A2-0B4A-958F-F927E528DE8E}">
      <text>
        <r>
          <rPr>
            <b/>
            <sz val="9"/>
            <color indexed="81"/>
            <rFont val="Calibri"/>
            <family val="2"/>
          </rPr>
          <t>John Browning:</t>
        </r>
        <r>
          <rPr>
            <sz val="9"/>
            <color indexed="81"/>
            <rFont val="Calibri"/>
            <family val="2"/>
          </rPr>
          <t xml:space="preserve">
0.0006 kg/MMBtu
0.138 MMBtu/gal
GWP = 298
Emission Factor in RR appears incorrect</t>
        </r>
      </text>
    </comment>
  </commentList>
</comments>
</file>

<file path=xl/sharedStrings.xml><?xml version="1.0" encoding="utf-8"?>
<sst xmlns="http://schemas.openxmlformats.org/spreadsheetml/2006/main" count="1897" uniqueCount="304">
  <si>
    <t>Reference</t>
  </si>
  <si>
    <t>75-07-0</t>
  </si>
  <si>
    <t>Acetaldehyde</t>
  </si>
  <si>
    <t>107-02-8</t>
  </si>
  <si>
    <t>Acrolein</t>
  </si>
  <si>
    <t>7664-41-7</t>
  </si>
  <si>
    <t>Ammonia</t>
  </si>
  <si>
    <t>7440-38-2</t>
  </si>
  <si>
    <t>Arsenic and compounds</t>
  </si>
  <si>
    <t>7440-39-3</t>
  </si>
  <si>
    <t>Barium and compounds</t>
  </si>
  <si>
    <t>71-43-2</t>
  </si>
  <si>
    <t>Benzene</t>
  </si>
  <si>
    <t>50-32-8</t>
  </si>
  <si>
    <t>Benzo[a]pyrene</t>
  </si>
  <si>
    <t>7440-41-7</t>
  </si>
  <si>
    <t>Beryllium and compounds</t>
  </si>
  <si>
    <t>7440-43-9</t>
  </si>
  <si>
    <t>Cadmium and compounds</t>
  </si>
  <si>
    <t>18540-29-9</t>
  </si>
  <si>
    <t>Chromium VI, chromate and dichromate particulate</t>
  </si>
  <si>
    <t>7440-48-4</t>
  </si>
  <si>
    <t>Cobalt and compounds</t>
  </si>
  <si>
    <t>7440-50-8</t>
  </si>
  <si>
    <t>Copper and compounds</t>
  </si>
  <si>
    <t>100-41-4</t>
  </si>
  <si>
    <t>Ethyl benzene</t>
  </si>
  <si>
    <t>111-76-2</t>
  </si>
  <si>
    <t>50-00-0</t>
  </si>
  <si>
    <t>Formaldehyde</t>
  </si>
  <si>
    <t>110-54-3</t>
  </si>
  <si>
    <t>Hexane</t>
  </si>
  <si>
    <t>7664-39-3</t>
  </si>
  <si>
    <t>7439-92-1</t>
  </si>
  <si>
    <t>Lead and compounds</t>
  </si>
  <si>
    <t>7439-96-5</t>
  </si>
  <si>
    <t>Manganese and compounds</t>
  </si>
  <si>
    <t>7439-97-6</t>
  </si>
  <si>
    <t>Mercury and compounds</t>
  </si>
  <si>
    <t>1313-27-5</t>
  </si>
  <si>
    <t>Molybdenum trioxide</t>
  </si>
  <si>
    <t>91-20-3</t>
  </si>
  <si>
    <t>Naphthalene</t>
  </si>
  <si>
    <t>7440-02-0</t>
  </si>
  <si>
    <t>Nickel compounds, insoluble</t>
  </si>
  <si>
    <t>7697-37-2</t>
  </si>
  <si>
    <t>7664-38-2</t>
  </si>
  <si>
    <t>Polycyclic aromatic hydrocarbons (PAHs)</t>
  </si>
  <si>
    <t>107-98-2</t>
  </si>
  <si>
    <t>78-92-2</t>
  </si>
  <si>
    <t>7782-49-2</t>
  </si>
  <si>
    <t>Selenium and compounds</t>
  </si>
  <si>
    <t>108-88-3</t>
  </si>
  <si>
    <t>Toluene</t>
  </si>
  <si>
    <t>7440-62-2</t>
  </si>
  <si>
    <t>Vanadium (fume or dust)</t>
  </si>
  <si>
    <t>1330-20-7</t>
  </si>
  <si>
    <t>Xylene (mixture), including m-xylene, o-xylene, p-xylene</t>
  </si>
  <si>
    <t>7440-66-6</t>
  </si>
  <si>
    <t>Zinc and compounds</t>
  </si>
  <si>
    <t>lb/yr</t>
  </si>
  <si>
    <t>tpy</t>
  </si>
  <si>
    <t>Rating</t>
  </si>
  <si>
    <t>MMBtu/hr</t>
  </si>
  <si>
    <t>HHV Natural Gas</t>
  </si>
  <si>
    <t>Btu/ft3</t>
  </si>
  <si>
    <t>Max. Daily Operating Hours</t>
  </si>
  <si>
    <t>Max. Annual Operating Hours</t>
  </si>
  <si>
    <t>Max. Annual Natural Gas Usage</t>
  </si>
  <si>
    <t>MMBtu/yr</t>
  </si>
  <si>
    <t>MMCF/yr</t>
  </si>
  <si>
    <t>Annual Natural Gas Usage</t>
  </si>
  <si>
    <t>Daily Natural Gas Usage</t>
  </si>
  <si>
    <t>MMCF/day</t>
  </si>
  <si>
    <t>Criteria Pollutants(1)</t>
  </si>
  <si>
    <t>Pollutant</t>
  </si>
  <si>
    <t>Emission Factor (lb/MMCF)</t>
  </si>
  <si>
    <t>NOx</t>
  </si>
  <si>
    <t>CO</t>
  </si>
  <si>
    <t>VOC</t>
  </si>
  <si>
    <t>PM/PM10/PM2.5</t>
  </si>
  <si>
    <t>SO2</t>
  </si>
  <si>
    <t>(1) Emission factor from ODEQ, AQ-EF05</t>
  </si>
  <si>
    <t>Greenhouse Gases(2)</t>
  </si>
  <si>
    <t>Emission Factor (kg/MMBtu)</t>
  </si>
  <si>
    <t>CO2e</t>
  </si>
  <si>
    <t>(2) Emission factor from EPA, 40 CFR Part 98, Subpart C</t>
  </si>
  <si>
    <t>Toxic Air Contaminants (TACs)(3)</t>
  </si>
  <si>
    <t>CAS</t>
  </si>
  <si>
    <t>Total TACs</t>
  </si>
  <si>
    <t>Greenhouse Gases</t>
  </si>
  <si>
    <t>GHG-CH4</t>
  </si>
  <si>
    <t>mtCO2e/gal</t>
  </si>
  <si>
    <t>(3)</t>
  </si>
  <si>
    <t>MT</t>
  </si>
  <si>
    <t>GHG-CO2</t>
  </si>
  <si>
    <t>GHG-N20</t>
  </si>
  <si>
    <t>Hazardous Air Pollutants (HAPs)</t>
  </si>
  <si>
    <t>Short Tons</t>
  </si>
  <si>
    <t>lb/MMBtu</t>
  </si>
  <si>
    <t>(4)</t>
  </si>
  <si>
    <t>Xylenes</t>
  </si>
  <si>
    <t>Napthalene</t>
  </si>
  <si>
    <t>Total PAH</t>
  </si>
  <si>
    <t>Total HAPs</t>
  </si>
  <si>
    <t>(1) "Worst-case" emission factor derived from manufacturers specifications.</t>
  </si>
  <si>
    <t>(2) SCAQMD Reporting Procedures for AB2588 Table B-2 Default EF for Diesel/Distillate Oil Fuel Combustion</t>
  </si>
  <si>
    <t>(3) 40 CFR 98 Tbl. C-1, C-2</t>
  </si>
  <si>
    <t>(4) AP-42 Table 3.4-3</t>
  </si>
  <si>
    <t>MT = Metric Tons</t>
  </si>
  <si>
    <t>Potential Emissions from Non-Emergency Operations - Annual Summary</t>
  </si>
  <si>
    <t>GHG-CO2e</t>
  </si>
  <si>
    <t>HAPs</t>
  </si>
  <si>
    <t>ULSD Fuel Use</t>
  </si>
  <si>
    <t>gal/yr</t>
  </si>
  <si>
    <t>ULSD Heating Value</t>
  </si>
  <si>
    <t>Btu/gal</t>
  </si>
  <si>
    <t>Emission Factor</t>
  </si>
  <si>
    <t>Potential Emissions (tpy)</t>
  </si>
  <si>
    <t>Value</t>
  </si>
  <si>
    <t>Units</t>
  </si>
  <si>
    <t>Criteria Pollutants</t>
  </si>
  <si>
    <t>lb/gal</t>
  </si>
  <si>
    <t>(1)</t>
  </si>
  <si>
    <t>Lead</t>
  </si>
  <si>
    <t>lb/kgal</t>
  </si>
  <si>
    <t>(2)</t>
  </si>
  <si>
    <t>Potential Emissions from Emergency &amp; Non-Emergency Operations - Annual Summary</t>
  </si>
  <si>
    <t>Total Fuel Usage</t>
  </si>
  <si>
    <t>Expected Max. Annual Operating Capacity</t>
  </si>
  <si>
    <t>Emission Rate            (tpy)</t>
  </si>
  <si>
    <t>Single Unit</t>
  </si>
  <si>
    <t>Daily Emissions      (lb/day)</t>
  </si>
  <si>
    <t>Annual Emissions      (lb/yr)</t>
  </si>
  <si>
    <t># of units</t>
  </si>
  <si>
    <t>Operating Information</t>
  </si>
  <si>
    <t>Type of Welding Process</t>
  </si>
  <si>
    <t>GMAW</t>
  </si>
  <si>
    <t>(Gas Metal Arc Welding)</t>
  </si>
  <si>
    <t>Electrode Type</t>
  </si>
  <si>
    <t>E70S</t>
  </si>
  <si>
    <t>Annual Electrode Consumption</t>
  </si>
  <si>
    <t>Daily Electrode Consumption</t>
  </si>
  <si>
    <t>PM10</t>
  </si>
  <si>
    <t>(1) AP-42  Table 12.19-1</t>
  </si>
  <si>
    <t>Nickel and compounds, insoluble</t>
  </si>
  <si>
    <t>lb/day</t>
  </si>
  <si>
    <t>--</t>
  </si>
  <si>
    <t>AquaEC 5100</t>
  </si>
  <si>
    <t>Annual Emission lb/yr</t>
  </si>
  <si>
    <t>Annual Emission tpy</t>
  </si>
  <si>
    <t>Daily Emission lb/day</t>
  </si>
  <si>
    <t>Criteria Pollutant</t>
  </si>
  <si>
    <t>Coating Use Information</t>
  </si>
  <si>
    <t>Coating Emissions</t>
  </si>
  <si>
    <t>Tank Process Name</t>
  </si>
  <si>
    <t>Tank #</t>
  </si>
  <si>
    <r>
      <t>Surface Tension, σ (lb</t>
    </r>
    <r>
      <rPr>
        <vertAlign val="subscript"/>
        <sz val="11"/>
        <color rgb="FF000000"/>
        <rFont val="Calibri"/>
        <family val="2"/>
        <scheme val="minor"/>
      </rPr>
      <t>f</t>
    </r>
    <r>
      <rPr>
        <sz val="11"/>
        <color rgb="FF000000"/>
        <rFont val="Calibri"/>
        <family val="2"/>
        <scheme val="minor"/>
      </rPr>
      <t>/ft)</t>
    </r>
  </si>
  <si>
    <r>
      <t>Average Bubble Radius, R</t>
    </r>
    <r>
      <rPr>
        <vertAlign val="subscript"/>
        <sz val="11"/>
        <color rgb="FF000000"/>
        <rFont val="Calibri"/>
        <family val="2"/>
        <scheme val="minor"/>
      </rPr>
      <t>b</t>
    </r>
    <r>
      <rPr>
        <sz val="11"/>
        <color rgb="FF000000"/>
        <rFont val="Calibri"/>
        <family val="2"/>
        <scheme val="minor"/>
      </rPr>
      <t xml:space="preserve"> (Inches)</t>
    </r>
  </si>
  <si>
    <r>
      <t>Factor, a (0.072 R</t>
    </r>
    <r>
      <rPr>
        <vertAlign val="subscript"/>
        <sz val="11"/>
        <color rgb="FF000000"/>
        <rFont val="Calibri"/>
        <family val="2"/>
        <scheme val="minor"/>
      </rPr>
      <t>b</t>
    </r>
    <r>
      <rPr>
        <vertAlign val="superscript"/>
        <sz val="11"/>
        <color rgb="FF000000"/>
        <rFont val="Calibri"/>
        <family val="2"/>
        <scheme val="minor"/>
      </rPr>
      <t>2</t>
    </r>
    <r>
      <rPr>
        <sz val="11"/>
        <color rgb="FF000000"/>
        <rFont val="Calibri"/>
        <family val="2"/>
        <scheme val="minor"/>
      </rPr>
      <t>/σ)</t>
    </r>
  </si>
  <si>
    <r>
      <t>Tank Liquid Emission Rate (grains/ft</t>
    </r>
    <r>
      <rPr>
        <vertAlign val="superscript"/>
        <sz val="11"/>
        <color rgb="FF000000"/>
        <rFont val="Calibri"/>
        <family val="2"/>
        <scheme val="minor"/>
      </rPr>
      <t>3</t>
    </r>
    <r>
      <rPr>
        <sz val="11"/>
        <color rgb="FF000000"/>
        <rFont val="Calibri"/>
        <family val="2"/>
        <scheme val="minor"/>
      </rPr>
      <t>-aeration air)</t>
    </r>
  </si>
  <si>
    <r>
      <t>Aeration Rate (cfm/ft</t>
    </r>
    <r>
      <rPr>
        <vertAlign val="superscript"/>
        <sz val="11"/>
        <color rgb="FF000000"/>
        <rFont val="Calibri"/>
        <family val="2"/>
        <scheme val="minor"/>
      </rPr>
      <t>2</t>
    </r>
    <r>
      <rPr>
        <sz val="11"/>
        <color rgb="FF000000"/>
        <rFont val="Calibri"/>
        <family val="2"/>
        <scheme val="minor"/>
      </rPr>
      <t>)</t>
    </r>
  </si>
  <si>
    <r>
      <t>Tank Surface Area (ft</t>
    </r>
    <r>
      <rPr>
        <vertAlign val="superscript"/>
        <sz val="11"/>
        <color rgb="FF000000"/>
        <rFont val="Calibri"/>
        <family val="2"/>
        <scheme val="minor"/>
      </rPr>
      <t>2</t>
    </r>
    <r>
      <rPr>
        <sz val="11"/>
        <color rgb="FF000000"/>
        <rFont val="Calibri"/>
        <family val="2"/>
        <scheme val="minor"/>
      </rPr>
      <t>)</t>
    </r>
  </si>
  <si>
    <t>Chemical Emission Rate           (lb/hr)</t>
  </si>
  <si>
    <t>Chemical Emission Rate           (lb/yr)</t>
  </si>
  <si>
    <t>Operating Hrs</t>
  </si>
  <si>
    <t>hrs/yr</t>
  </si>
  <si>
    <t>Bonderite NP-2</t>
  </si>
  <si>
    <t>Prepalene X</t>
  </si>
  <si>
    <t>Bonderite M-NT2</t>
  </si>
  <si>
    <t>Bonderite 3410</t>
  </si>
  <si>
    <t>Pretreatment Baths</t>
  </si>
  <si>
    <t>Zinc Option</t>
  </si>
  <si>
    <t>Alkaline Clean</t>
  </si>
  <si>
    <t>Stage 2</t>
  </si>
  <si>
    <t>Additive</t>
  </si>
  <si>
    <t>Conditioner</t>
  </si>
  <si>
    <t>Stage 5</t>
  </si>
  <si>
    <t>Zinc Pretreat</t>
  </si>
  <si>
    <t>Stage 6</t>
  </si>
  <si>
    <t>Bonderite M-AD 131</t>
  </si>
  <si>
    <t>no TACs</t>
  </si>
  <si>
    <t>Nano Option</t>
  </si>
  <si>
    <t>Nano Pretreat</t>
  </si>
  <si>
    <t>Pretreat Option</t>
  </si>
  <si>
    <t>CAS
 (See Note 2)</t>
  </si>
  <si>
    <t>zinc orthophosphate</t>
  </si>
  <si>
    <t>nickel nitrate</t>
  </si>
  <si>
    <t>phophoric acid</t>
  </si>
  <si>
    <t>Chemical Weight % In Additive</t>
  </si>
  <si>
    <t>hydrogen fluoride</t>
  </si>
  <si>
    <t>Additive Concentration in Bath 
(gal/100 gal)</t>
  </si>
  <si>
    <t>zinc nitrate</t>
  </si>
  <si>
    <t>zinc dihydrogen phosphate</t>
  </si>
  <si>
    <t>Additive Density
(lb/gal)</t>
  </si>
  <si>
    <t>Tank Liquid Emission Rate (lb/hr)</t>
  </si>
  <si>
    <t>Chemical Concentration (lb/gal)</t>
  </si>
  <si>
    <t>Resin</t>
  </si>
  <si>
    <t>1-methoxy-2-propanol</t>
  </si>
  <si>
    <t>Chemical Molecular Weight (MW)</t>
  </si>
  <si>
    <t>K (ft/sec)</t>
  </si>
  <si>
    <t>R 
(psia-ft3/oR-lb-mole)</t>
  </si>
  <si>
    <t>A-Surface Area (ft2)</t>
  </si>
  <si>
    <t>T- Temperature 
(oR)</t>
  </si>
  <si>
    <t>Pigment paste</t>
  </si>
  <si>
    <t>U-Wind Speed (mph)</t>
  </si>
  <si>
    <t>W
(lb/sec)</t>
  </si>
  <si>
    <t>Emission (lb/hr)</t>
  </si>
  <si>
    <t>Emission (lb/yr)</t>
  </si>
  <si>
    <t>Chemical Emission (lb/hr)</t>
  </si>
  <si>
    <t>Chemical Emission (lb/yr)</t>
  </si>
  <si>
    <t>Operating Hours</t>
  </si>
  <si>
    <t>hr/yr</t>
  </si>
  <si>
    <t>Pigment</t>
  </si>
  <si>
    <t>Flow additive</t>
  </si>
  <si>
    <t>Flow Additive</t>
  </si>
  <si>
    <t>Chemical</t>
  </si>
  <si>
    <t>Density (lb/gal)</t>
  </si>
  <si>
    <t>butan-2-ol</t>
  </si>
  <si>
    <t>2-butoxyethanol</t>
  </si>
  <si>
    <t>Using EPA emission equation from EIIP Volume II, Chapter 6- Semiconductor MFG, Equation 6.5-5, page 6.5-6 and -7:</t>
  </si>
  <si>
    <t>Wx = Evaporation rate of pollutant x (lb/sec)</t>
  </si>
  <si>
    <t>MWx = molecular weight of pollutant x (lb/lb-mole)</t>
  </si>
  <si>
    <r>
      <t xml:space="preserve">K = gas phase mass transfer coefficient (ft/sec)= 0.00438 * U </t>
    </r>
    <r>
      <rPr>
        <vertAlign val="superscript"/>
        <sz val="12"/>
        <color theme="1"/>
        <rFont val="Calibri (Body)"/>
      </rPr>
      <t>0.78</t>
    </r>
    <r>
      <rPr>
        <sz val="12"/>
        <color theme="1"/>
        <rFont val="Calibri"/>
        <family val="2"/>
        <scheme val="minor"/>
      </rPr>
      <t xml:space="preserve"> * (18/MWx)</t>
    </r>
    <r>
      <rPr>
        <vertAlign val="superscript"/>
        <sz val="12"/>
        <color theme="1"/>
        <rFont val="Calibri (Body)"/>
      </rPr>
      <t>1/3</t>
    </r>
  </si>
  <si>
    <t>U = wind speed (mph)</t>
  </si>
  <si>
    <t>A - surface area (square ft)</t>
  </si>
  <si>
    <t>R = ideal gas constant= 10.73</t>
  </si>
  <si>
    <t>T = Temperature (oR)</t>
  </si>
  <si>
    <t xml:space="preserve">Wx = (MWx * K * A * Pvapx)/(R*T)  </t>
  </si>
  <si>
    <t>where:</t>
  </si>
  <si>
    <t>hr/day</t>
  </si>
  <si>
    <t>Emission (lb/day)</t>
  </si>
  <si>
    <t>Chemical Emission (lb/day)</t>
  </si>
  <si>
    <t>Chemical Emission Rate           (lb/day)</t>
  </si>
  <si>
    <t>Chemical Weight % in component</t>
  </si>
  <si>
    <t>Coating Component</t>
  </si>
  <si>
    <t>Wt Percent of Component</t>
  </si>
  <si>
    <t>2-butanol</t>
  </si>
  <si>
    <t>Zinc Pretreat Option Total TACs</t>
  </si>
  <si>
    <t>Assume all TAC in flow additive comes off in coating bath</t>
  </si>
  <si>
    <t>Total TACs from Ecoat bath</t>
  </si>
  <si>
    <t>Total TAC from Coating Oven</t>
  </si>
  <si>
    <t>Chemical/TAC Pollutant</t>
  </si>
  <si>
    <t>Pvapx - vapor pressure of pollutant x (psia)</t>
  </si>
  <si>
    <t>P vapx 
(psia)</t>
  </si>
  <si>
    <t>Electrocoating Stage (Stage 8 or Stage 9 in coating line depending on Pretreatment option used)</t>
  </si>
  <si>
    <t>AquaEC 5100 Coating Component</t>
  </si>
  <si>
    <t>Chemical/ TAC Pollutant</t>
  </si>
  <si>
    <t>Toxic Air Contaminants (TACs)</t>
  </si>
  <si>
    <t>* 2.64 gal resin to 1 gal pigment</t>
  </si>
  <si>
    <t>Annual Coating* Usage</t>
  </si>
  <si>
    <t>ammonium nitrate</t>
  </si>
  <si>
    <t>6482-52-2</t>
  </si>
  <si>
    <t>Overall Hood capture and Cartridge Filter efficiency</t>
  </si>
  <si>
    <t>Controlled lb/1000 lb electrode</t>
  </si>
  <si>
    <t>Emission Factor(1) (lb/1000 lb electrode)</t>
  </si>
  <si>
    <t>lb/1000 lb electrode (2)</t>
  </si>
  <si>
    <t>(95% capture, 99% control)</t>
  </si>
  <si>
    <t>Bonderite M-AD 700</t>
  </si>
  <si>
    <t>Bonderite C-IC 2520</t>
  </si>
  <si>
    <t>nitric acid</t>
  </si>
  <si>
    <t>Tons/yr</t>
  </si>
  <si>
    <t>Emission Total</t>
  </si>
  <si>
    <t>* 100% VOC in coating calculated as being emitted from Coating Oven</t>
  </si>
  <si>
    <t>CIA Emissions Total</t>
  </si>
  <si>
    <t>Toxic Air Contaminants</t>
  </si>
  <si>
    <t>H</t>
  </si>
  <si>
    <t>Hazardous Air Pollutants</t>
  </si>
  <si>
    <t>Emission Sources</t>
  </si>
  <si>
    <t>Pretreatment Heater Stage 2 (H2)</t>
  </si>
  <si>
    <t>Coating Oven (CO1)</t>
  </si>
  <si>
    <t>Coating Line Baths (CL1)*</t>
  </si>
  <si>
    <t>Welding (W1)</t>
  </si>
  <si>
    <t>Building F Domestic Hot Water Heaters (B2)</t>
  </si>
  <si>
    <t>Pretreatment Heater Stage 1 (H1)</t>
  </si>
  <si>
    <t>Back-up Condensing Boiler 
(B1)</t>
  </si>
  <si>
    <t>Infrared Radiant Heating Units 
(H4)</t>
  </si>
  <si>
    <t>Coating Oven- Burner 
(H3)</t>
  </si>
  <si>
    <t>Natural Gas-Fired Categorically Insignificant Activities (CIA)</t>
  </si>
  <si>
    <t>Table 3-1: Emissions from Pretreatment Heater Stage 2 (H2)</t>
  </si>
  <si>
    <t>Number of units</t>
  </si>
  <si>
    <t>Table 3-2: Emissions from Coating Oven Burner (H3)</t>
  </si>
  <si>
    <t>Table 3-3: Emissions from Coating Oven (CO1)</t>
  </si>
  <si>
    <t>Table 3-4: Emissions from Coating Line Baths (CL1)</t>
  </si>
  <si>
    <t>Table 3-5: Emissions from Welding (W1)</t>
  </si>
  <si>
    <t>Table 3-6: Emissions from Backup Condensing Boiler (B1)</t>
  </si>
  <si>
    <t>Table 3-7: Emissions from Building F Hot Water Heaters (B2)</t>
  </si>
  <si>
    <t>Table 3-8: Emissions from Pretreatment Heater Stage 1 (H1)</t>
  </si>
  <si>
    <t>Table 3-9: Emissions from Infrared Heaters (H4)</t>
  </si>
  <si>
    <t>Table 3-11: Emission Summary for Natural Gas-Fired Categorically Insignificant Activities</t>
  </si>
  <si>
    <t>Table 3-10: Plant Site Emission Summary</t>
  </si>
  <si>
    <t>MWAF     (see Note 3)</t>
  </si>
  <si>
    <t>Coating Usage gal/yr</t>
  </si>
  <si>
    <t>Coating Density (lb/gal)</t>
  </si>
  <si>
    <t>VOC Content by wt. (%)</t>
  </si>
  <si>
    <t>Total VOC</t>
  </si>
  <si>
    <t>Vapor Pressure Documentation:</t>
  </si>
  <si>
    <t>https://pubchem.ncbi.nlm.nih.gov/compound/1-Methoxy-2-propanol#section=Vapor-Pressure</t>
  </si>
  <si>
    <t>(12.5 mm Hg @ 25C)</t>
  </si>
  <si>
    <t>(18.3 mm Hg @ 25C)</t>
  </si>
  <si>
    <t>https://pubchem.ncbi.nlm.nih.gov/compound/6568#section=Vapor-Pressure</t>
  </si>
  <si>
    <t xml:space="preserve">2-butoxyethanol	</t>
  </si>
  <si>
    <t>https://pubchem.ncbi.nlm.nih.gov/compound/8133#section=Vapor-Pressure</t>
  </si>
  <si>
    <t>(0.88 mm Hg @ 25C)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</si>
</sst>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_(* \(#,##0.00\);_(* &quot;-&quot;??_);_(@_)"/>
    <numFmt numFmtId="164" formatCode="0.0"/>
    <numFmt numFmtId="165" formatCode="0.000"/>
    <numFmt numFmtId="166" formatCode="0.00000"/>
    <numFmt numFmtId="167" formatCode="0.0000"/>
    <numFmt numFmtId="168" formatCode="0.0%"/>
    <numFmt numFmtId="169" formatCode="#,##0.000"/>
    <numFmt numFmtId="170" formatCode="#,##0.0000"/>
    <numFmt numFmtId="171" formatCode="#,##0.0"/>
  </numFmts>
  <fonts count="33">
    <font>
      <sz val="12"/>
      <color theme="1"/>
      <name val="Calibri"/>
      <family val="2"/>
      <scheme val="minor"/>
    </font>
    <font>
      <sz val="12"/>
      <color rgb="FFFF0000"/>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sz val="8"/>
      <name val="Calibri"/>
      <family val="2"/>
      <scheme val="minor"/>
    </font>
    <font>
      <sz val="12"/>
      <name val="Calibri"/>
      <family val="2"/>
      <scheme val="minor"/>
    </font>
    <font>
      <sz val="11"/>
      <color theme="1"/>
      <name val="Calibri"/>
      <family val="2"/>
      <scheme val="minor"/>
    </font>
    <font>
      <sz val="11"/>
      <color rgb="FF000000"/>
      <name val="Calibri"/>
      <family val="2"/>
      <scheme val="minor"/>
    </font>
    <font>
      <sz val="12"/>
      <color theme="1"/>
      <name val="Calibri"/>
      <family val="2"/>
      <scheme val="minor"/>
    </font>
    <font>
      <b/>
      <sz val="16"/>
      <color rgb="FF000000"/>
      <name val="Calibri"/>
      <family val="2"/>
      <scheme val="minor"/>
    </font>
    <font>
      <sz val="10"/>
      <name val="Arial"/>
      <family val="2"/>
    </font>
    <font>
      <b/>
      <sz val="12"/>
      <color rgb="FF0070C0"/>
      <name val="Arial"/>
      <family val="2"/>
    </font>
    <font>
      <b/>
      <sz val="14"/>
      <name val="Arial"/>
      <family val="2"/>
    </font>
    <font>
      <b/>
      <sz val="12"/>
      <name val="Calibri"/>
      <family val="2"/>
      <scheme val="minor"/>
    </font>
    <font>
      <i/>
      <sz val="12"/>
      <color theme="1"/>
      <name val="Calibri"/>
      <family val="2"/>
      <scheme val="minor"/>
    </font>
    <font>
      <b/>
      <sz val="26"/>
      <color theme="1"/>
      <name val="Calibri"/>
      <family val="2"/>
      <scheme val="minor"/>
    </font>
    <font>
      <sz val="10"/>
      <color rgb="FF000000"/>
      <name val="Times New Roman"/>
      <family val="1"/>
    </font>
    <font>
      <u/>
      <sz val="12"/>
      <color theme="1"/>
      <name val="Calibri"/>
      <family val="2"/>
      <scheme val="minor"/>
    </font>
    <font>
      <sz val="18"/>
      <color rgb="FF0000FF"/>
      <name val="Calibri"/>
      <family val="2"/>
      <scheme val="minor"/>
    </font>
    <font>
      <b/>
      <sz val="9"/>
      <color indexed="81"/>
      <name val="Calibri"/>
      <family val="2"/>
    </font>
    <font>
      <sz val="9"/>
      <color indexed="81"/>
      <name val="Calibri"/>
      <family val="2"/>
    </font>
    <font>
      <sz val="10"/>
      <color rgb="FF000000"/>
      <name val="Tahoma"/>
      <family val="2"/>
    </font>
    <font>
      <b/>
      <sz val="10"/>
      <color rgb="FF000000"/>
      <name val="Tahoma"/>
      <family val="2"/>
    </font>
    <font>
      <vertAlign val="subscript"/>
      <sz val="11"/>
      <color rgb="FF000000"/>
      <name val="Calibri"/>
      <family val="2"/>
      <scheme val="minor"/>
    </font>
    <font>
      <vertAlign val="superscript"/>
      <sz val="11"/>
      <color rgb="FF000000"/>
      <name val="Calibri"/>
      <family val="2"/>
      <scheme val="minor"/>
    </font>
    <font>
      <b/>
      <sz val="16"/>
      <color theme="1"/>
      <name val="Arial"/>
      <family val="2"/>
    </font>
    <font>
      <b/>
      <u/>
      <sz val="14"/>
      <color theme="1"/>
      <name val="Calibri"/>
      <family val="2"/>
      <scheme val="minor"/>
    </font>
    <font>
      <sz val="11"/>
      <color theme="1"/>
      <name val="Calibri (Body)"/>
    </font>
    <font>
      <vertAlign val="superscript"/>
      <sz val="12"/>
      <color theme="1"/>
      <name val="Calibri (Body)"/>
    </font>
    <font>
      <b/>
      <i/>
      <sz val="12"/>
      <color theme="1"/>
      <name val="Calibri"/>
      <family val="2"/>
      <scheme val="minor"/>
    </font>
    <font>
      <strike/>
      <sz val="12"/>
      <color theme="1"/>
      <name val="Calibri"/>
      <family val="2"/>
      <scheme val="minor"/>
    </font>
    <font>
      <u/>
      <sz val="12"/>
      <color theme="10"/>
      <name val="Calibri"/>
      <family val="2"/>
      <scheme val="minor"/>
    </font>
  </fonts>
  <fills count="2">
    <fill>
      <patternFill patternType="none"/>
    </fill>
    <fill>
      <patternFill patternType="gray125"/>
    </fill>
  </fills>
  <borders count="28">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dotted">
        <color auto="1"/>
      </right>
      <top style="thin">
        <color auto="1"/>
      </top>
      <bottom style="dotted">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style="thin">
        <color rgb="FF000000"/>
      </left>
      <right/>
      <top/>
      <bottom style="thin">
        <color rgb="FF000000"/>
      </bottom>
      <diagonal/>
    </border>
  </borders>
  <cellStyleXfs count="9">
    <xf numFmtId="0" fontId="0" fillId="0" borderId="0"/>
    <xf numFmtId="0" fontId="7" fillId="0" borderId="0"/>
    <xf numFmtId="43" fontId="7" fillId="0" borderId="0" applyFont="0" applyFill="0" applyBorder="0" applyAlignment="0" applyProtection="0"/>
    <xf numFmtId="0" fontId="11" fillId="0" borderId="0"/>
    <xf numFmtId="9" fontId="9" fillId="0" borderId="0" applyFont="0" applyFill="0" applyBorder="0" applyAlignment="0" applyProtection="0"/>
    <xf numFmtId="0" fontId="17" fillId="0" borderId="0"/>
    <xf numFmtId="43" fontId="9" fillId="0" borderId="0" applyFont="0" applyFill="0" applyBorder="0" applyAlignment="0" applyProtection="0"/>
    <xf numFmtId="9" fontId="9" fillId="0" borderId="0" applyFont="0" applyFill="0" applyBorder="0" applyAlignment="0" applyProtection="0"/>
    <xf numFmtId="0" fontId="32" fillId="0" borderId="0" applyNumberFormat="0" applyFill="0" applyBorder="0" applyAlignment="0" applyProtection="0"/>
  </cellStyleXfs>
  <cellXfs count="254">
    <xf numFmtId="0" fontId="0" fillId="0" borderId="0" xfId="0"/>
    <xf numFmtId="0" fontId="3" fillId="0" borderId="0" xfId="0" applyFont="1"/>
    <xf numFmtId="0" fontId="3" fillId="0" borderId="0" xfId="0" applyFont="1" applyAlignment="1">
      <alignment horizontal="center"/>
    </xf>
    <xf numFmtId="0" fontId="0" fillId="0" borderId="0" xfId="0" applyAlignment="1">
      <alignment horizontal="center"/>
    </xf>
    <xf numFmtId="0" fontId="4" fillId="0" borderId="0" xfId="0" applyFont="1"/>
    <xf numFmtId="0" fontId="0" fillId="0" borderId="5" xfId="0" applyBorder="1"/>
    <xf numFmtId="0" fontId="0" fillId="0" borderId="6" xfId="0" applyBorder="1" applyAlignment="1">
      <alignment horizontal="center"/>
    </xf>
    <xf numFmtId="0" fontId="0" fillId="0" borderId="6" xfId="0" applyBorder="1"/>
    <xf numFmtId="0" fontId="2" fillId="0" borderId="0" xfId="0" applyFont="1" applyBorder="1" applyAlignment="1">
      <alignment horizontal="center"/>
    </xf>
    <xf numFmtId="0" fontId="0" fillId="0" borderId="0" xfId="0" applyBorder="1" applyAlignment="1">
      <alignment horizontal="center" wrapText="1"/>
    </xf>
    <xf numFmtId="0" fontId="10" fillId="0" borderId="0" xfId="0" applyFont="1"/>
    <xf numFmtId="1" fontId="0" fillId="0" borderId="0" xfId="0" applyNumberFormat="1" applyAlignment="1">
      <alignment horizontal="center"/>
    </xf>
    <xf numFmtId="2" fontId="0" fillId="0" borderId="0" xfId="0" applyNumberFormat="1" applyAlignment="1">
      <alignment horizontal="center"/>
    </xf>
    <xf numFmtId="164" fontId="0" fillId="0" borderId="0" xfId="0" applyNumberFormat="1" applyAlignment="1">
      <alignment horizontal="center"/>
    </xf>
    <xf numFmtId="0" fontId="12" fillId="0" borderId="0" xfId="3" applyFont="1"/>
    <xf numFmtId="0" fontId="13" fillId="0" borderId="0" xfId="3" applyFont="1"/>
    <xf numFmtId="2" fontId="14" fillId="0" borderId="0" xfId="0" applyNumberFormat="1" applyFont="1" applyAlignment="1">
      <alignment horizontal="left"/>
    </xf>
    <xf numFmtId="1" fontId="6" fillId="0" borderId="0" xfId="0" applyNumberFormat="1" applyFont="1" applyAlignment="1">
      <alignment horizontal="right"/>
    </xf>
    <xf numFmtId="2" fontId="6" fillId="0" borderId="0" xfId="0" applyNumberFormat="1" applyFont="1" applyAlignment="1">
      <alignment horizontal="left"/>
    </xf>
    <xf numFmtId="2" fontId="6" fillId="0" borderId="0" xfId="0" quotePrefix="1" applyNumberFormat="1" applyFont="1" applyAlignment="1">
      <alignment horizontal="left"/>
    </xf>
    <xf numFmtId="0" fontId="6" fillId="0" borderId="0" xfId="0" applyFont="1" applyAlignment="1">
      <alignment horizontal="right"/>
    </xf>
    <xf numFmtId="164" fontId="6" fillId="0" borderId="0" xfId="0" applyNumberFormat="1" applyFont="1" applyAlignment="1">
      <alignment horizontal="right"/>
    </xf>
    <xf numFmtId="3" fontId="0" fillId="0" borderId="0" xfId="0" applyNumberFormat="1"/>
    <xf numFmtId="9" fontId="6" fillId="0" borderId="0" xfId="4" applyFont="1" applyAlignment="1">
      <alignment horizontal="right"/>
    </xf>
    <xf numFmtId="164" fontId="0" fillId="0" borderId="0" xfId="0" applyNumberFormat="1"/>
    <xf numFmtId="0" fontId="11" fillId="0" borderId="0" xfId="0" applyFont="1" applyAlignment="1">
      <alignment horizontal="center"/>
    </xf>
    <xf numFmtId="2" fontId="6" fillId="0" borderId="0" xfId="0" applyNumberFormat="1" applyFont="1" applyAlignment="1">
      <alignment horizontal="right"/>
    </xf>
    <xf numFmtId="2" fontId="0" fillId="0" borderId="0" xfId="0" applyNumberFormat="1"/>
    <xf numFmtId="0" fontId="6" fillId="0" borderId="0" xfId="0" applyFont="1" applyAlignment="1">
      <alignment horizontal="center"/>
    </xf>
    <xf numFmtId="0" fontId="6" fillId="0" borderId="8" xfId="0" applyFont="1" applyBorder="1" applyAlignment="1">
      <alignment horizontal="center" vertical="center" wrapText="1"/>
    </xf>
    <xf numFmtId="0" fontId="0" fillId="0" borderId="8" xfId="0" applyBorder="1" applyAlignment="1">
      <alignment horizontal="center" vertical="center" wrapText="1"/>
    </xf>
    <xf numFmtId="0" fontId="0" fillId="0" borderId="8" xfId="0" applyBorder="1"/>
    <xf numFmtId="164" fontId="6" fillId="0" borderId="8" xfId="0" applyNumberFormat="1" applyFont="1" applyBorder="1" applyAlignment="1">
      <alignment horizontal="right"/>
    </xf>
    <xf numFmtId="2" fontId="6" fillId="0" borderId="8" xfId="0" applyNumberFormat="1" applyFont="1" applyBorder="1" applyAlignment="1">
      <alignment horizontal="right"/>
    </xf>
    <xf numFmtId="165" fontId="6" fillId="0" borderId="8" xfId="0" applyNumberFormat="1" applyFont="1" applyBorder="1" applyAlignment="1">
      <alignment horizontal="right"/>
    </xf>
    <xf numFmtId="0" fontId="0" fillId="0" borderId="0" xfId="0" quotePrefix="1"/>
    <xf numFmtId="0" fontId="0" fillId="0" borderId="9" xfId="0" applyBorder="1"/>
    <xf numFmtId="2" fontId="6" fillId="0" borderId="9" xfId="0" applyNumberFormat="1" applyFont="1" applyBorder="1" applyAlignment="1">
      <alignment horizontal="right"/>
    </xf>
    <xf numFmtId="0" fontId="0" fillId="0" borderId="10" xfId="0" applyBorder="1"/>
    <xf numFmtId="2" fontId="6" fillId="0" borderId="10" xfId="0" applyNumberFormat="1" applyFont="1" applyBorder="1" applyAlignment="1">
      <alignment horizontal="right"/>
    </xf>
    <xf numFmtId="0" fontId="6" fillId="0" borderId="14" xfId="0" applyFont="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16" fillId="0" borderId="0" xfId="0" applyFont="1"/>
    <xf numFmtId="166" fontId="6" fillId="0" borderId="8" xfId="0" applyNumberFormat="1" applyFont="1" applyBorder="1" applyAlignment="1">
      <alignment horizontal="right"/>
    </xf>
    <xf numFmtId="11" fontId="6" fillId="0" borderId="8" xfId="0" applyNumberFormat="1" applyFont="1" applyBorder="1" applyAlignment="1">
      <alignment horizontal="right"/>
    </xf>
    <xf numFmtId="0" fontId="6" fillId="0" borderId="8" xfId="5" applyFont="1" applyBorder="1" applyAlignment="1">
      <alignment horizontal="left" vertical="top" wrapText="1"/>
    </xf>
    <xf numFmtId="2" fontId="0" fillId="0" borderId="8" xfId="0" applyNumberFormat="1" applyBorder="1"/>
    <xf numFmtId="0" fontId="0" fillId="0" borderId="16" xfId="0" applyBorder="1"/>
    <xf numFmtId="11" fontId="0" fillId="0" borderId="16" xfId="0" applyNumberFormat="1" applyBorder="1"/>
    <xf numFmtId="0" fontId="0" fillId="0" borderId="16" xfId="0" applyBorder="1" applyAlignment="1">
      <alignment horizontal="center"/>
    </xf>
    <xf numFmtId="0" fontId="0" fillId="0" borderId="16" xfId="0" quotePrefix="1" applyBorder="1" applyAlignment="1">
      <alignment horizontal="center"/>
    </xf>
    <xf numFmtId="164" fontId="0" fillId="0" borderId="16" xfId="0" applyNumberFormat="1" applyBorder="1"/>
    <xf numFmtId="2" fontId="0" fillId="0" borderId="16" xfId="0" applyNumberFormat="1" applyBorder="1"/>
    <xf numFmtId="165" fontId="0" fillId="0" borderId="16" xfId="0" applyNumberFormat="1" applyBorder="1"/>
    <xf numFmtId="167" fontId="0" fillId="0" borderId="16" xfId="0" applyNumberFormat="1" applyBorder="1"/>
    <xf numFmtId="166" fontId="0" fillId="0" borderId="16" xfId="0" applyNumberFormat="1" applyBorder="1"/>
    <xf numFmtId="11" fontId="0" fillId="0" borderId="0" xfId="0" applyNumberFormat="1"/>
    <xf numFmtId="0" fontId="18" fillId="0" borderId="0" xfId="0" applyFont="1"/>
    <xf numFmtId="0" fontId="0" fillId="0" borderId="17" xfId="0" applyBorder="1" applyAlignment="1">
      <alignment horizontal="center"/>
    </xf>
    <xf numFmtId="164" fontId="0" fillId="0" borderId="15" xfId="0" applyNumberFormat="1" applyBorder="1" applyAlignment="1">
      <alignment horizontal="center"/>
    </xf>
    <xf numFmtId="2" fontId="0" fillId="0" borderId="15" xfId="0" applyNumberFormat="1" applyBorder="1" applyAlignment="1">
      <alignment horizontal="center"/>
    </xf>
    <xf numFmtId="2" fontId="19" fillId="0" borderId="0" xfId="0" applyNumberFormat="1" applyFont="1" applyAlignment="1">
      <alignment horizontal="left"/>
    </xf>
    <xf numFmtId="0" fontId="0" fillId="0" borderId="16" xfId="0" applyBorder="1" applyAlignment="1">
      <alignment horizontal="center"/>
    </xf>
    <xf numFmtId="0" fontId="0" fillId="0" borderId="15" xfId="0" applyBorder="1" applyAlignment="1">
      <alignment horizontal="center" vertical="center" wrapText="1"/>
    </xf>
    <xf numFmtId="1" fontId="0" fillId="0" borderId="16" xfId="0" applyNumberFormat="1" applyBorder="1"/>
    <xf numFmtId="0" fontId="1" fillId="0" borderId="0" xfId="0" applyFont="1"/>
    <xf numFmtId="167" fontId="6" fillId="0" borderId="8" xfId="0" applyNumberFormat="1" applyFont="1" applyBorder="1" applyAlignment="1">
      <alignment horizontal="right"/>
    </xf>
    <xf numFmtId="0" fontId="0" fillId="0" borderId="16" xfId="0" applyBorder="1" applyAlignment="1">
      <alignment horizontal="center"/>
    </xf>
    <xf numFmtId="0" fontId="0" fillId="0" borderId="15" xfId="0" applyBorder="1" applyAlignment="1">
      <alignment horizontal="center" vertical="center" wrapText="1"/>
    </xf>
    <xf numFmtId="3" fontId="0" fillId="0" borderId="0" xfId="0" applyNumberFormat="1" applyAlignment="1">
      <alignment horizontal="right"/>
    </xf>
    <xf numFmtId="0" fontId="0" fillId="0" borderId="0" xfId="0" applyBorder="1"/>
    <xf numFmtId="0" fontId="0" fillId="0" borderId="0" xfId="0" applyAlignment="1">
      <alignment wrapText="1"/>
    </xf>
    <xf numFmtId="0" fontId="0" fillId="0" borderId="0" xfId="0" applyFont="1"/>
    <xf numFmtId="0" fontId="0" fillId="0" borderId="16" xfId="0" applyBorder="1" applyAlignment="1">
      <alignment horizontal="center"/>
    </xf>
    <xf numFmtId="0" fontId="2" fillId="0" borderId="0" xfId="0" applyFont="1"/>
    <xf numFmtId="0" fontId="0" fillId="0" borderId="8" xfId="0" applyBorder="1" applyAlignment="1">
      <alignment horizontal="left"/>
    </xf>
    <xf numFmtId="0" fontId="15" fillId="0" borderId="0" xfId="0" applyFont="1"/>
    <xf numFmtId="0" fontId="2" fillId="0" borderId="0" xfId="0" applyFont="1" applyBorder="1" applyAlignment="1">
      <alignment horizontal="center" wrapText="1"/>
    </xf>
    <xf numFmtId="0" fontId="15" fillId="0" borderId="0" xfId="0" applyFont="1" applyBorder="1"/>
    <xf numFmtId="0" fontId="2" fillId="0" borderId="6" xfId="0" applyFont="1" applyBorder="1" applyAlignment="1"/>
    <xf numFmtId="0" fontId="8" fillId="0" borderId="16" xfId="0" applyFont="1" applyBorder="1" applyAlignment="1">
      <alignment horizontal="center" vertical="center" wrapText="1"/>
    </xf>
    <xf numFmtId="0" fontId="8" fillId="0" borderId="3" xfId="0" applyFont="1" applyBorder="1" applyAlignment="1">
      <alignment horizontal="center" vertical="center" wrapText="1"/>
    </xf>
    <xf numFmtId="0" fontId="26" fillId="0" borderId="0" xfId="0" applyFont="1"/>
    <xf numFmtId="9" fontId="0" fillId="0" borderId="0" xfId="0" applyNumberFormat="1" applyAlignment="1">
      <alignment horizontal="center"/>
    </xf>
    <xf numFmtId="0" fontId="27" fillId="0" borderId="0" xfId="0" applyFont="1"/>
    <xf numFmtId="0" fontId="8" fillId="0" borderId="16" xfId="0" applyFont="1" applyFill="1" applyBorder="1" applyAlignment="1">
      <alignment horizontal="center" vertical="center" wrapText="1"/>
    </xf>
    <xf numFmtId="0" fontId="28" fillId="0" borderId="0" xfId="0" applyFont="1"/>
    <xf numFmtId="0" fontId="0" fillId="0" borderId="16" xfId="0" applyBorder="1" applyAlignment="1">
      <alignment horizontal="center" wrapText="1"/>
    </xf>
    <xf numFmtId="168" fontId="0" fillId="0" borderId="0" xfId="0" applyNumberFormat="1" applyAlignment="1">
      <alignment horizontal="center"/>
    </xf>
    <xf numFmtId="0" fontId="2" fillId="0" borderId="16" xfId="0" applyFont="1" applyBorder="1"/>
    <xf numFmtId="0" fontId="2" fillId="0" borderId="16" xfId="0" applyFont="1" applyBorder="1" applyAlignment="1">
      <alignment horizontal="center" wrapText="1"/>
    </xf>
    <xf numFmtId="3" fontId="0" fillId="0" borderId="0" xfId="0" applyNumberFormat="1" applyAlignment="1">
      <alignment horizontal="center"/>
    </xf>
    <xf numFmtId="4" fontId="0" fillId="0" borderId="0" xfId="0" applyNumberFormat="1" applyAlignment="1">
      <alignment wrapText="1"/>
    </xf>
    <xf numFmtId="0" fontId="0" fillId="0" borderId="0" xfId="0" applyFont="1" applyAlignment="1">
      <alignment horizontal="left" indent="1"/>
    </xf>
    <xf numFmtId="0" fontId="2" fillId="0" borderId="0" xfId="0" applyFont="1" applyAlignment="1">
      <alignment horizontal="center"/>
    </xf>
    <xf numFmtId="2" fontId="0" fillId="0" borderId="6" xfId="0" applyNumberFormat="1" applyBorder="1" applyAlignment="1">
      <alignment horizontal="center"/>
    </xf>
    <xf numFmtId="4" fontId="0" fillId="0" borderId="6" xfId="0" applyNumberFormat="1" applyBorder="1" applyAlignment="1">
      <alignment horizontal="center"/>
    </xf>
    <xf numFmtId="0" fontId="0" fillId="0" borderId="18" xfId="0" applyBorder="1"/>
    <xf numFmtId="168" fontId="0" fillId="0" borderId="0" xfId="0" applyNumberFormat="1" applyBorder="1" applyAlignment="1">
      <alignment horizontal="center"/>
    </xf>
    <xf numFmtId="0" fontId="0" fillId="0" borderId="18" xfId="0" applyBorder="1" applyAlignment="1">
      <alignment horizontal="left" indent="1"/>
    </xf>
    <xf numFmtId="0" fontId="2" fillId="0" borderId="21" xfId="0" applyFont="1" applyFill="1" applyBorder="1"/>
    <xf numFmtId="0" fontId="15" fillId="0" borderId="5" xfId="0" applyFont="1" applyBorder="1"/>
    <xf numFmtId="2" fontId="0" fillId="0" borderId="7" xfId="0" applyNumberFormat="1" applyBorder="1" applyAlignment="1">
      <alignment horizontal="center"/>
    </xf>
    <xf numFmtId="0" fontId="0" fillId="0" borderId="0" xfId="0" applyAlignment="1">
      <alignment horizontal="left"/>
    </xf>
    <xf numFmtId="0" fontId="28" fillId="0" borderId="18" xfId="0" applyFont="1" applyBorder="1"/>
    <xf numFmtId="0" fontId="0" fillId="0" borderId="19" xfId="0" applyFont="1" applyBorder="1"/>
    <xf numFmtId="0" fontId="0" fillId="0" borderId="20" xfId="0" applyBorder="1" applyAlignment="1">
      <alignment horizontal="left"/>
    </xf>
    <xf numFmtId="0" fontId="28" fillId="0" borderId="5" xfId="0" applyFont="1" applyBorder="1"/>
    <xf numFmtId="0" fontId="0" fillId="0" borderId="6" xfId="0" applyFont="1" applyBorder="1"/>
    <xf numFmtId="0" fontId="0" fillId="0" borderId="7" xfId="0" applyBorder="1" applyAlignment="1">
      <alignment horizontal="left"/>
    </xf>
    <xf numFmtId="0" fontId="0" fillId="0" borderId="8" xfId="0" applyBorder="1" applyAlignment="1">
      <alignment wrapText="1"/>
    </xf>
    <xf numFmtId="3" fontId="0" fillId="0" borderId="19" xfId="0" applyNumberFormat="1" applyBorder="1"/>
    <xf numFmtId="0" fontId="0" fillId="0" borderId="20" xfId="0" applyBorder="1"/>
    <xf numFmtId="0" fontId="0" fillId="0" borderId="21" xfId="0" applyBorder="1" applyAlignment="1">
      <alignment horizontal="left" indent="1"/>
    </xf>
    <xf numFmtId="3" fontId="0" fillId="0" borderId="0" xfId="0" applyNumberFormat="1" applyBorder="1"/>
    <xf numFmtId="0" fontId="0" fillId="0" borderId="22" xfId="0" applyBorder="1"/>
    <xf numFmtId="0" fontId="0" fillId="0" borderId="5" xfId="0" applyBorder="1" applyAlignment="1">
      <alignment horizontal="left" indent="1"/>
    </xf>
    <xf numFmtId="1" fontId="0" fillId="0" borderId="6" xfId="0" applyNumberFormat="1" applyBorder="1"/>
    <xf numFmtId="0" fontId="0" fillId="0" borderId="7" xfId="0" applyBorder="1"/>
    <xf numFmtId="1" fontId="0" fillId="0" borderId="19" xfId="0" applyNumberFormat="1" applyBorder="1"/>
    <xf numFmtId="0" fontId="0" fillId="0" borderId="0" xfId="0" quotePrefix="1" applyBorder="1" applyAlignment="1">
      <alignment horizontal="center"/>
    </xf>
    <xf numFmtId="9" fontId="0" fillId="0" borderId="0" xfId="0" applyNumberFormat="1" applyBorder="1" applyAlignment="1">
      <alignment horizontal="center"/>
    </xf>
    <xf numFmtId="167" fontId="0" fillId="0" borderId="0" xfId="0" applyNumberFormat="1" applyBorder="1"/>
    <xf numFmtId="166" fontId="0" fillId="0" borderId="0" xfId="0" applyNumberFormat="1" applyBorder="1"/>
    <xf numFmtId="0" fontId="0" fillId="0" borderId="6" xfId="0" quotePrefix="1" applyBorder="1" applyAlignment="1">
      <alignment horizontal="center"/>
    </xf>
    <xf numFmtId="0" fontId="2" fillId="0" borderId="16" xfId="0" applyFont="1" applyBorder="1" applyAlignment="1">
      <alignment horizontal="center"/>
    </xf>
    <xf numFmtId="0" fontId="30" fillId="0" borderId="0" xfId="0" applyFont="1"/>
    <xf numFmtId="0" fontId="0" fillId="0" borderId="16" xfId="0" applyBorder="1" applyAlignment="1">
      <alignment horizontal="center"/>
    </xf>
    <xf numFmtId="0" fontId="0" fillId="0" borderId="0" xfId="0" applyBorder="1" applyAlignment="1">
      <alignment horizontal="center"/>
    </xf>
    <xf numFmtId="0" fontId="0" fillId="0" borderId="1" xfId="0" applyFont="1" applyBorder="1" applyAlignment="1">
      <alignment horizontal="left" indent="1"/>
    </xf>
    <xf numFmtId="0" fontId="0" fillId="0" borderId="6" xfId="0" applyBorder="1" applyAlignment="1">
      <alignment horizontal="right"/>
    </xf>
    <xf numFmtId="168" fontId="0" fillId="0" borderId="16" xfId="0" applyNumberFormat="1" applyBorder="1" applyAlignment="1">
      <alignment horizontal="center"/>
    </xf>
    <xf numFmtId="166" fontId="0" fillId="0" borderId="16" xfId="0" applyNumberFormat="1" applyBorder="1" applyAlignment="1">
      <alignment horizontal="center"/>
    </xf>
    <xf numFmtId="0" fontId="0" fillId="0" borderId="16" xfId="0" applyBorder="1" applyAlignment="1">
      <alignment wrapText="1"/>
    </xf>
    <xf numFmtId="2" fontId="0" fillId="0" borderId="16" xfId="0" applyNumberFormat="1" applyBorder="1" applyAlignment="1">
      <alignment wrapText="1"/>
    </xf>
    <xf numFmtId="4" fontId="0" fillId="0" borderId="16" xfId="0" applyNumberFormat="1" applyBorder="1" applyAlignment="1">
      <alignment wrapText="1"/>
    </xf>
    <xf numFmtId="0" fontId="0" fillId="0" borderId="16" xfId="0" applyFill="1" applyBorder="1" applyAlignment="1">
      <alignment horizontal="center"/>
    </xf>
    <xf numFmtId="170" fontId="0" fillId="0" borderId="16" xfId="0" applyNumberFormat="1" applyBorder="1" applyAlignment="1">
      <alignment wrapText="1"/>
    </xf>
    <xf numFmtId="169" fontId="0" fillId="0" borderId="16" xfId="0" applyNumberFormat="1" applyBorder="1" applyAlignment="1">
      <alignment wrapText="1"/>
    </xf>
    <xf numFmtId="4" fontId="0" fillId="0" borderId="16" xfId="0" applyNumberFormat="1" applyBorder="1"/>
    <xf numFmtId="9" fontId="0" fillId="0" borderId="16" xfId="0" applyNumberFormat="1" applyBorder="1" applyAlignment="1">
      <alignment horizontal="center"/>
    </xf>
    <xf numFmtId="2" fontId="0" fillId="0" borderId="16" xfId="0" applyNumberFormat="1" applyBorder="1" applyAlignment="1">
      <alignment horizontal="center"/>
    </xf>
    <xf numFmtId="3" fontId="0" fillId="0" borderId="16" xfId="0" applyNumberFormat="1" applyBorder="1"/>
    <xf numFmtId="0" fontId="0" fillId="0" borderId="0" xfId="0" applyBorder="1" applyAlignment="1">
      <alignment horizontal="right"/>
    </xf>
    <xf numFmtId="4" fontId="0" fillId="0" borderId="0" xfId="0" applyNumberFormat="1" applyBorder="1"/>
    <xf numFmtId="0" fontId="0" fillId="0" borderId="17" xfId="0" applyBorder="1"/>
    <xf numFmtId="0" fontId="0" fillId="0" borderId="23" xfId="0" applyBorder="1"/>
    <xf numFmtId="0" fontId="0" fillId="0" borderId="15" xfId="0" applyBorder="1"/>
    <xf numFmtId="4" fontId="0" fillId="0" borderId="16" xfId="0" applyNumberFormat="1" applyBorder="1" applyAlignment="1">
      <alignment horizontal="center"/>
    </xf>
    <xf numFmtId="165" fontId="0" fillId="0" borderId="0" xfId="0" applyNumberFormat="1"/>
    <xf numFmtId="0" fontId="7" fillId="0" borderId="18" xfId="1" applyBorder="1"/>
    <xf numFmtId="0" fontId="7" fillId="0" borderId="19" xfId="1" applyBorder="1"/>
    <xf numFmtId="0" fontId="0" fillId="0" borderId="20" xfId="1" applyFont="1" applyBorder="1" applyAlignment="1">
      <alignment horizontal="left"/>
    </xf>
    <xf numFmtId="2" fontId="0" fillId="0" borderId="16" xfId="0" applyNumberFormat="1" applyFill="1" applyBorder="1" applyAlignment="1">
      <alignment horizontal="center"/>
    </xf>
    <xf numFmtId="9" fontId="0" fillId="0" borderId="16" xfId="0" applyNumberFormat="1" applyFill="1" applyBorder="1" applyAlignment="1">
      <alignment horizontal="center"/>
    </xf>
    <xf numFmtId="0" fontId="0" fillId="0" borderId="16" xfId="0" applyFill="1" applyBorder="1"/>
    <xf numFmtId="0" fontId="0" fillId="0" borderId="16" xfId="0" applyBorder="1" applyAlignment="1">
      <alignment horizontal="center"/>
    </xf>
    <xf numFmtId="0" fontId="0" fillId="0" borderId="16" xfId="0" applyBorder="1" applyAlignment="1">
      <alignment horizontal="center" wrapText="1"/>
    </xf>
    <xf numFmtId="4" fontId="0" fillId="0" borderId="0" xfId="0" applyNumberFormat="1"/>
    <xf numFmtId="167" fontId="0" fillId="0" borderId="0" xfId="0" applyNumberFormat="1"/>
    <xf numFmtId="2" fontId="6" fillId="0" borderId="0" xfId="0" applyNumberFormat="1" applyFont="1" applyBorder="1" applyAlignment="1">
      <alignment horizontal="right"/>
    </xf>
    <xf numFmtId="10" fontId="0" fillId="0" borderId="0" xfId="0" applyNumberFormat="1"/>
    <xf numFmtId="9" fontId="6" fillId="0" borderId="0" xfId="0" applyNumberFormat="1" applyFont="1" applyAlignment="1">
      <alignment horizontal="right"/>
    </xf>
    <xf numFmtId="2" fontId="6" fillId="0" borderId="0" xfId="0" applyNumberFormat="1" applyFont="1" applyAlignment="1">
      <alignment horizontal="left" wrapText="1"/>
    </xf>
    <xf numFmtId="0" fontId="0" fillId="0" borderId="11" xfId="0" applyBorder="1" applyAlignment="1">
      <alignment horizontal="center" vertical="center" wrapText="1"/>
    </xf>
    <xf numFmtId="0" fontId="0" fillId="0" borderId="11" xfId="0" applyBorder="1"/>
    <xf numFmtId="0" fontId="6" fillId="0" borderId="13" xfId="0" applyFont="1" applyBorder="1" applyAlignment="1">
      <alignment horizontal="center" vertical="center" wrapText="1"/>
    </xf>
    <xf numFmtId="165" fontId="6" fillId="0" borderId="13" xfId="0" applyNumberFormat="1" applyFont="1" applyBorder="1" applyAlignment="1">
      <alignment horizontal="right"/>
    </xf>
    <xf numFmtId="0" fontId="0" fillId="0" borderId="16" xfId="0" applyBorder="1" applyAlignment="1">
      <alignment horizontal="center" vertical="center" wrapText="1"/>
    </xf>
    <xf numFmtId="165" fontId="0" fillId="0" borderId="8" xfId="0" applyNumberFormat="1" applyBorder="1"/>
    <xf numFmtId="0" fontId="0" fillId="0" borderId="16" xfId="0" applyBorder="1" applyAlignment="1">
      <alignment horizontal="center"/>
    </xf>
    <xf numFmtId="0" fontId="0" fillId="0" borderId="16" xfId="0" applyBorder="1" applyAlignment="1">
      <alignment horizontal="center"/>
    </xf>
    <xf numFmtId="0" fontId="0" fillId="0" borderId="16" xfId="0" applyBorder="1" applyAlignment="1">
      <alignment horizontal="center" wrapText="1"/>
    </xf>
    <xf numFmtId="0" fontId="0" fillId="0" borderId="16" xfId="0" applyBorder="1" applyAlignment="1">
      <alignment horizontal="center"/>
    </xf>
    <xf numFmtId="0" fontId="0" fillId="0" borderId="16" xfId="0" applyFill="1" applyBorder="1" applyAlignment="1">
      <alignment horizontal="center"/>
    </xf>
    <xf numFmtId="0" fontId="0" fillId="0" borderId="1" xfId="0" applyBorder="1" applyAlignment="1">
      <alignment horizontal="center" wrapText="1"/>
    </xf>
    <xf numFmtId="0" fontId="0" fillId="0" borderId="16" xfId="0" applyFont="1" applyBorder="1" applyAlignment="1">
      <alignment horizontal="center" wrapText="1"/>
    </xf>
    <xf numFmtId="0" fontId="0" fillId="0" borderId="17" xfId="0" applyFont="1" applyBorder="1" applyAlignment="1">
      <alignment horizontal="center" wrapText="1"/>
    </xf>
    <xf numFmtId="165" fontId="0" fillId="0" borderId="16" xfId="0" applyNumberFormat="1" applyBorder="1" applyAlignment="1">
      <alignment horizontal="right"/>
    </xf>
    <xf numFmtId="0" fontId="0" fillId="0" borderId="26" xfId="0" applyBorder="1"/>
    <xf numFmtId="165" fontId="0" fillId="0" borderId="0" xfId="0" applyNumberFormat="1" applyBorder="1"/>
    <xf numFmtId="4" fontId="0" fillId="0" borderId="16" xfId="6" applyNumberFormat="1" applyFont="1" applyBorder="1"/>
    <xf numFmtId="39" fontId="0" fillId="0" borderId="16" xfId="6" applyNumberFormat="1" applyFont="1" applyBorder="1" applyAlignment="1"/>
    <xf numFmtId="0" fontId="0" fillId="0" borderId="0" xfId="0" applyAlignment="1">
      <alignment horizontal="center" vertical="top"/>
    </xf>
    <xf numFmtId="0" fontId="0" fillId="0" borderId="27" xfId="0" applyBorder="1"/>
    <xf numFmtId="0" fontId="0" fillId="0" borderId="4" xfId="0" applyFont="1" applyBorder="1" applyAlignment="1">
      <alignment horizontal="center" wrapText="1"/>
    </xf>
    <xf numFmtId="0" fontId="0" fillId="0" borderId="17" xfId="0" applyBorder="1" applyAlignment="1">
      <alignment horizontal="center" wrapText="1"/>
    </xf>
    <xf numFmtId="0" fontId="0" fillId="0" borderId="15" xfId="0" applyBorder="1" applyAlignment="1">
      <alignment horizontal="center" vertical="center" wrapText="1"/>
    </xf>
    <xf numFmtId="0" fontId="15" fillId="0" borderId="12" xfId="0" applyFont="1" applyBorder="1" applyAlignment="1">
      <alignment horizontal="center"/>
    </xf>
    <xf numFmtId="0" fontId="15" fillId="0" borderId="0" xfId="0" applyFont="1" applyBorder="1" applyAlignment="1">
      <alignment horizontal="center"/>
    </xf>
    <xf numFmtId="0" fontId="0" fillId="0" borderId="20" xfId="0" applyFont="1" applyFill="1" applyBorder="1" applyAlignment="1">
      <alignment horizontal="center" wrapText="1"/>
    </xf>
    <xf numFmtId="0" fontId="0" fillId="0" borderId="15" xfId="0" applyBorder="1" applyAlignment="1">
      <alignment horizontal="center"/>
    </xf>
    <xf numFmtId="164" fontId="0" fillId="0" borderId="0" xfId="0" applyNumberFormat="1" applyFont="1" applyAlignment="1">
      <alignment horizontal="right"/>
    </xf>
    <xf numFmtId="9" fontId="9" fillId="0" borderId="0" xfId="4" applyFont="1" applyAlignment="1">
      <alignment horizontal="right"/>
    </xf>
    <xf numFmtId="0" fontId="0" fillId="0" borderId="16" xfId="0" applyFill="1" applyBorder="1" applyAlignment="1">
      <alignment horizontal="center"/>
    </xf>
    <xf numFmtId="164" fontId="0" fillId="0" borderId="0" xfId="0" applyNumberFormat="1" applyBorder="1"/>
    <xf numFmtId="2" fontId="0" fillId="0" borderId="0" xfId="0" applyNumberFormat="1" applyBorder="1"/>
    <xf numFmtId="0" fontId="0" fillId="0" borderId="0" xfId="0" applyBorder="1" applyAlignment="1">
      <alignment horizontal="center" vertical="center" wrapText="1"/>
    </xf>
    <xf numFmtId="0" fontId="15" fillId="0" borderId="0" xfId="0" applyFont="1" applyBorder="1" applyAlignment="1">
      <alignment horizontal="center" vertical="center"/>
    </xf>
    <xf numFmtId="1" fontId="0" fillId="0" borderId="0" xfId="0" applyNumberFormat="1" applyBorder="1"/>
    <xf numFmtId="0" fontId="7" fillId="0" borderId="16" xfId="0" applyFont="1" applyBorder="1" applyAlignment="1">
      <alignment horizontal="left" wrapText="1"/>
    </xf>
    <xf numFmtId="0" fontId="7" fillId="0" borderId="16" xfId="0" applyFont="1" applyBorder="1" applyAlignment="1">
      <alignment horizontal="left"/>
    </xf>
    <xf numFmtId="0" fontId="7" fillId="0" borderId="16" xfId="0" applyFont="1" applyFill="1" applyBorder="1" applyAlignment="1">
      <alignment horizontal="left"/>
    </xf>
    <xf numFmtId="0" fontId="0" fillId="0" borderId="16" xfId="0" applyFill="1" applyBorder="1" applyAlignment="1">
      <alignment horizontal="center"/>
    </xf>
    <xf numFmtId="0" fontId="8" fillId="0" borderId="3" xfId="0" applyFont="1" applyFill="1" applyBorder="1" applyAlignment="1">
      <alignment horizontal="center" vertical="center" wrapText="1"/>
    </xf>
    <xf numFmtId="4" fontId="0" fillId="0" borderId="0" xfId="0" applyNumberFormat="1" applyBorder="1" applyAlignment="1">
      <alignment wrapText="1"/>
    </xf>
    <xf numFmtId="0" fontId="31" fillId="0" borderId="5" xfId="0" applyFont="1" applyBorder="1"/>
    <xf numFmtId="0" fontId="31" fillId="0" borderId="16" xfId="0" applyFont="1" applyBorder="1"/>
    <xf numFmtId="0" fontId="31" fillId="0" borderId="16" xfId="0" applyFont="1" applyBorder="1" applyAlignment="1">
      <alignment horizontal="center"/>
    </xf>
    <xf numFmtId="0" fontId="31" fillId="0" borderId="16" xfId="0" quotePrefix="1" applyFont="1" applyBorder="1" applyAlignment="1">
      <alignment horizontal="center"/>
    </xf>
    <xf numFmtId="9" fontId="31" fillId="0" borderId="16" xfId="0" applyNumberFormat="1" applyFont="1" applyBorder="1" applyAlignment="1">
      <alignment horizontal="center"/>
    </xf>
    <xf numFmtId="167" fontId="31" fillId="0" borderId="16" xfId="0" applyNumberFormat="1" applyFont="1" applyBorder="1"/>
    <xf numFmtId="1" fontId="31" fillId="0" borderId="16" xfId="0" applyNumberFormat="1" applyFont="1" applyBorder="1"/>
    <xf numFmtId="3" fontId="0" fillId="0" borderId="16" xfId="0" applyNumberFormat="1" applyFill="1" applyBorder="1" applyAlignment="1">
      <alignment horizontal="center"/>
    </xf>
    <xf numFmtId="1" fontId="0" fillId="0" borderId="16" xfId="0" applyNumberFormat="1" applyFill="1" applyBorder="1" applyAlignment="1">
      <alignment horizontal="center"/>
    </xf>
    <xf numFmtId="171" fontId="0" fillId="0" borderId="16" xfId="0" applyNumberFormat="1" applyFill="1" applyBorder="1" applyAlignment="1">
      <alignment horizontal="center"/>
    </xf>
    <xf numFmtId="4" fontId="0" fillId="0" borderId="16" xfId="0" applyNumberFormat="1" applyFill="1" applyBorder="1" applyAlignment="1">
      <alignment horizontal="center"/>
    </xf>
    <xf numFmtId="9" fontId="0" fillId="0" borderId="16" xfId="7" applyFont="1" applyFill="1" applyBorder="1" applyAlignment="1">
      <alignment horizontal="center"/>
    </xf>
    <xf numFmtId="0" fontId="32" fillId="0" borderId="0" xfId="8" applyAlignment="1">
      <alignment horizontal="left"/>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19" xfId="0" applyFont="1" applyBorder="1" applyAlignment="1">
      <alignment horizontal="center"/>
    </xf>
    <xf numFmtId="0" fontId="0" fillId="0" borderId="18" xfId="0" applyBorder="1" applyAlignment="1">
      <alignment horizontal="center"/>
    </xf>
    <xf numFmtId="0" fontId="0" fillId="0" borderId="20" xfId="0"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0" fillId="0" borderId="1" xfId="0" applyBorder="1" applyAlignment="1">
      <alignment horizontal="center"/>
    </xf>
    <xf numFmtId="0" fontId="0" fillId="0" borderId="3" xfId="0" applyBorder="1" applyAlignment="1">
      <alignment horizontal="center"/>
    </xf>
    <xf numFmtId="0" fontId="15" fillId="0" borderId="1" xfId="0" applyFont="1" applyBorder="1" applyAlignment="1">
      <alignment horizontal="center"/>
    </xf>
    <xf numFmtId="0" fontId="15" fillId="0" borderId="2" xfId="0" applyFont="1" applyBorder="1" applyAlignment="1">
      <alignment horizontal="center"/>
    </xf>
    <xf numFmtId="0" fontId="15" fillId="0" borderId="3" xfId="0" applyFont="1" applyBorder="1" applyAlignment="1">
      <alignment horizontal="center"/>
    </xf>
    <xf numFmtId="0" fontId="0" fillId="0" borderId="2" xfId="0" applyBorder="1" applyAlignment="1">
      <alignment horizontal="center"/>
    </xf>
    <xf numFmtId="0" fontId="0" fillId="0" borderId="16" xfId="0" applyBorder="1" applyAlignment="1">
      <alignment horizontal="left" vertical="center"/>
    </xf>
    <xf numFmtId="0" fontId="0" fillId="0" borderId="16" xfId="0" applyBorder="1" applyAlignment="1">
      <alignment horizontal="center"/>
    </xf>
    <xf numFmtId="0" fontId="0" fillId="0" borderId="17" xfId="0" applyBorder="1" applyAlignment="1">
      <alignment horizontal="center" vertical="center" wrapText="1"/>
    </xf>
    <xf numFmtId="0" fontId="0" fillId="0" borderId="15" xfId="0" applyBorder="1" applyAlignment="1">
      <alignment horizontal="center" vertical="center" wrapText="1"/>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5" fillId="0" borderId="8" xfId="0" applyFont="1" applyBorder="1" applyAlignment="1">
      <alignment horizontal="center"/>
    </xf>
    <xf numFmtId="0" fontId="15" fillId="0" borderId="11" xfId="0" applyFont="1" applyBorder="1" applyAlignment="1">
      <alignment horizontal="center"/>
    </xf>
    <xf numFmtId="0" fontId="15" fillId="0" borderId="12" xfId="0" applyFont="1" applyBorder="1" applyAlignment="1">
      <alignment horizontal="center"/>
    </xf>
    <xf numFmtId="0" fontId="15" fillId="0" borderId="13" xfId="0" applyFont="1" applyBorder="1" applyAlignment="1">
      <alignment horizontal="center"/>
    </xf>
    <xf numFmtId="0" fontId="0" fillId="0" borderId="11" xfId="0" applyBorder="1" applyAlignment="1">
      <alignment horizontal="center"/>
    </xf>
    <xf numFmtId="0" fontId="0" fillId="0" borderId="13" xfId="0" applyBorder="1" applyAlignment="1">
      <alignment horizontal="center"/>
    </xf>
    <xf numFmtId="0" fontId="0" fillId="0" borderId="16" xfId="0" applyFill="1" applyBorder="1" applyAlignment="1">
      <alignment horizontal="center"/>
    </xf>
    <xf numFmtId="0" fontId="0" fillId="0" borderId="1" xfId="0" applyBorder="1" applyAlignment="1">
      <alignment horizontal="center" wrapText="1"/>
    </xf>
    <xf numFmtId="0" fontId="0" fillId="0" borderId="3" xfId="0" applyBorder="1" applyAlignment="1">
      <alignment horizontal="center" wrapText="1"/>
    </xf>
    <xf numFmtId="0" fontId="0" fillId="0" borderId="16" xfId="0" applyBorder="1" applyAlignment="1">
      <alignment horizontal="center" wrapText="1"/>
    </xf>
    <xf numFmtId="0" fontId="15" fillId="0" borderId="24" xfId="0" applyFont="1" applyBorder="1" applyAlignment="1">
      <alignment horizontal="center"/>
    </xf>
    <xf numFmtId="0" fontId="15" fillId="0" borderId="0" xfId="0" applyFont="1" applyBorder="1" applyAlignment="1">
      <alignment horizontal="center"/>
    </xf>
    <xf numFmtId="0" fontId="15" fillId="0" borderId="25" xfId="0" applyFont="1" applyBorder="1" applyAlignment="1">
      <alignment horizontal="center"/>
    </xf>
  </cellXfs>
  <cellStyles count="9">
    <cellStyle name="Comma" xfId="6" builtinId="3"/>
    <cellStyle name="Comma 2" xfId="2" xr:uid="{FB422552-45B7-1D4A-874F-E7753873458F}"/>
    <cellStyle name="Hyperlink" xfId="8" builtinId="8"/>
    <cellStyle name="Normal" xfId="0" builtinId="0"/>
    <cellStyle name="Normal 122" xfId="3" xr:uid="{F26E4F06-E109-1B4F-A9DD-1DA46CD91602}"/>
    <cellStyle name="Normal 2" xfId="1" xr:uid="{D2731EC1-C669-5541-B36C-3D1FCC364C94}"/>
    <cellStyle name="Normal 6" xfId="5" xr:uid="{F26EC13D-2253-1F43-9978-78C8594FE7B8}"/>
    <cellStyle name="Percent" xfId="7" builtinId="5"/>
    <cellStyle name="Percent 2 2" xfId="4" xr:uid="{F6B46273-69A4-3E48-A8D1-8110C865244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9" Type="http://schemas.openxmlformats.org/officeDocument/2006/relationships/externalLink" Target="externalLinks/externalLink29.xml"/><Relationship Id="rId21" Type="http://schemas.openxmlformats.org/officeDocument/2006/relationships/externalLink" Target="externalLinks/externalLink11.xml"/><Relationship Id="rId34" Type="http://schemas.openxmlformats.org/officeDocument/2006/relationships/externalLink" Target="externalLinks/externalLink2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6.xml"/><Relationship Id="rId29"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40" Type="http://schemas.openxmlformats.org/officeDocument/2006/relationships/externalLink" Target="externalLinks/externalLink3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36" Type="http://schemas.openxmlformats.org/officeDocument/2006/relationships/externalLink" Target="externalLinks/externalLink26.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openxmlformats.org/officeDocument/2006/relationships/externalLink" Target="externalLinks/externalLink2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38100</xdr:colOff>
      <xdr:row>171</xdr:row>
      <xdr:rowOff>190500</xdr:rowOff>
    </xdr:from>
    <xdr:to>
      <xdr:col>7</xdr:col>
      <xdr:colOff>774700</xdr:colOff>
      <xdr:row>180</xdr:row>
      <xdr:rowOff>50800</xdr:rowOff>
    </xdr:to>
    <xdr:sp macro="" textlink="">
      <xdr:nvSpPr>
        <xdr:cNvPr id="2" name="TextBox 1">
          <a:extLst>
            <a:ext uri="{FF2B5EF4-FFF2-40B4-BE49-F238E27FC236}">
              <a16:creationId xmlns:a16="http://schemas.microsoft.com/office/drawing/2014/main" id="{672F4424-3EDF-1D45-B118-3B0AE52A1425}"/>
            </a:ext>
          </a:extLst>
        </xdr:cNvPr>
        <xdr:cNvSpPr txBox="1"/>
      </xdr:nvSpPr>
      <xdr:spPr>
        <a:xfrm>
          <a:off x="38100" y="35737800"/>
          <a:ext cx="7988300"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a:t>Potential Emissions from Non-Emergency &amp; Emergency Operations</a:t>
          </a:r>
        </a:p>
        <a:p>
          <a:endParaRPr lang="en-US" sz="1200"/>
        </a:p>
        <a:p>
          <a:r>
            <a:rPr lang="en-US" sz="1200"/>
            <a:t>Emission estimates for all operations (non-emergency</a:t>
          </a:r>
          <a:r>
            <a:rPr lang="en-US" sz="1200" baseline="0"/>
            <a:t> and emergency operations are based on the same emission factors derived for non-emergency operations).  The annual fuel use limit is being established to limit facility total emissions to below Oregon's Title V major source thresholds (e.g., 100 tpy of NOx)</a:t>
          </a:r>
        </a:p>
        <a:p>
          <a:endParaRPr lang="en-US" sz="1100"/>
        </a:p>
      </xdr:txBody>
    </xdr:sp>
    <xdr:clientData/>
  </xdr:twoCellAnchor>
  <xdr:twoCellAnchor>
    <xdr:from>
      <xdr:col>0</xdr:col>
      <xdr:colOff>165101</xdr:colOff>
      <xdr:row>68</xdr:row>
      <xdr:rowOff>50799</xdr:rowOff>
    </xdr:from>
    <xdr:to>
      <xdr:col>4</xdr:col>
      <xdr:colOff>520701</xdr:colOff>
      <xdr:row>71</xdr:row>
      <xdr:rowOff>167105</xdr:rowOff>
    </xdr:to>
    <xdr:sp macro="" textlink="">
      <xdr:nvSpPr>
        <xdr:cNvPr id="3" name="TextBox 2">
          <a:extLst>
            <a:ext uri="{FF2B5EF4-FFF2-40B4-BE49-F238E27FC236}">
              <a16:creationId xmlns:a16="http://schemas.microsoft.com/office/drawing/2014/main" id="{D42BB6C6-73E5-8C45-A13B-8C33B29F3B80}"/>
            </a:ext>
          </a:extLst>
        </xdr:cNvPr>
        <xdr:cNvSpPr txBox="1"/>
      </xdr:nvSpPr>
      <xdr:spPr>
        <a:xfrm>
          <a:off x="165101" y="14566899"/>
          <a:ext cx="6172200" cy="7259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mn-lt"/>
            </a:rPr>
            <a:t>(3) TAC</a:t>
          </a:r>
          <a:r>
            <a:rPr lang="en-US" sz="1200" baseline="0">
              <a:latin typeface="+mn-lt"/>
            </a:rPr>
            <a:t> Emission Factors from ODEQ ATEI Combustion Emission Factor Tool: </a:t>
          </a:r>
          <a:r>
            <a:rPr lang="en-US" sz="1200" b="0" i="0" u="none" strike="noStrike">
              <a:solidFill>
                <a:srgbClr val="000000"/>
              </a:solidFill>
              <a:effectLst/>
              <a:latin typeface="+mn-lt"/>
            </a:rPr>
            <a:t>WebFIRE/ AP-42 Section 1.4 (metals); SCAQMD AB2588 - Default Emission Factors for Fuel Combustion, Table B-1</a:t>
          </a:r>
          <a:r>
            <a:rPr lang="en-US" sz="1200">
              <a:latin typeface="+mn-lt"/>
            </a:rPr>
            <a:t> </a:t>
          </a:r>
          <a:endParaRPr lang="en-US" sz="1400">
            <a:latin typeface="+mn-l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168</xdr:row>
      <xdr:rowOff>190500</xdr:rowOff>
    </xdr:from>
    <xdr:to>
      <xdr:col>6</xdr:col>
      <xdr:colOff>774700</xdr:colOff>
      <xdr:row>177</xdr:row>
      <xdr:rowOff>50800</xdr:rowOff>
    </xdr:to>
    <xdr:sp macro="" textlink="">
      <xdr:nvSpPr>
        <xdr:cNvPr id="2" name="TextBox 1">
          <a:extLst>
            <a:ext uri="{FF2B5EF4-FFF2-40B4-BE49-F238E27FC236}">
              <a16:creationId xmlns:a16="http://schemas.microsoft.com/office/drawing/2014/main" id="{97DB3CF4-9596-3A44-9EFE-57F29F4CADB5}"/>
            </a:ext>
          </a:extLst>
        </xdr:cNvPr>
        <xdr:cNvSpPr txBox="1"/>
      </xdr:nvSpPr>
      <xdr:spPr>
        <a:xfrm>
          <a:off x="38100" y="35737800"/>
          <a:ext cx="7988300"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a:t>Potential Emissions from Non-Emergency &amp; Emergency Operations</a:t>
          </a:r>
        </a:p>
        <a:p>
          <a:endParaRPr lang="en-US" sz="1200"/>
        </a:p>
        <a:p>
          <a:r>
            <a:rPr lang="en-US" sz="1200"/>
            <a:t>Emission estimates for all operations (non-emergency</a:t>
          </a:r>
          <a:r>
            <a:rPr lang="en-US" sz="1200" baseline="0"/>
            <a:t> and emergency operations are based on the same emission factors derived for non-emergency operations).  The annual fuel use limit is being established to limit facility total emissions to below Oregon's Title V major source thresholds (e.g., 100 tpy of NOx)</a:t>
          </a:r>
        </a:p>
        <a:p>
          <a:endParaRPr lang="en-US" sz="1100"/>
        </a:p>
      </xdr:txBody>
    </xdr:sp>
    <xdr:clientData/>
  </xdr:twoCellAnchor>
  <xdr:twoCellAnchor>
    <xdr:from>
      <xdr:col>0</xdr:col>
      <xdr:colOff>165101</xdr:colOff>
      <xdr:row>65</xdr:row>
      <xdr:rowOff>50799</xdr:rowOff>
    </xdr:from>
    <xdr:to>
      <xdr:col>4</xdr:col>
      <xdr:colOff>520701</xdr:colOff>
      <xdr:row>68</xdr:row>
      <xdr:rowOff>167105</xdr:rowOff>
    </xdr:to>
    <xdr:sp macro="" textlink="">
      <xdr:nvSpPr>
        <xdr:cNvPr id="3" name="TextBox 2">
          <a:extLst>
            <a:ext uri="{FF2B5EF4-FFF2-40B4-BE49-F238E27FC236}">
              <a16:creationId xmlns:a16="http://schemas.microsoft.com/office/drawing/2014/main" id="{3CF6C60C-22FD-874B-AF8C-3AB870858197}"/>
            </a:ext>
          </a:extLst>
        </xdr:cNvPr>
        <xdr:cNvSpPr txBox="1"/>
      </xdr:nvSpPr>
      <xdr:spPr>
        <a:xfrm>
          <a:off x="165101" y="14566899"/>
          <a:ext cx="6172200" cy="7259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mn-lt"/>
            </a:rPr>
            <a:t>(3) TAC</a:t>
          </a:r>
          <a:r>
            <a:rPr lang="en-US" sz="1200" baseline="0">
              <a:latin typeface="+mn-lt"/>
            </a:rPr>
            <a:t> Emission Factors from ODEQ ATEI Combustion Emission Factor Tool: </a:t>
          </a:r>
          <a:r>
            <a:rPr lang="en-US" sz="1200" b="0" i="0" u="none" strike="noStrike">
              <a:solidFill>
                <a:srgbClr val="000000"/>
              </a:solidFill>
              <a:effectLst/>
              <a:latin typeface="+mn-lt"/>
            </a:rPr>
            <a:t>WebFIRE/ AP-42 Section 1.4 (metals); SCAQMD AB2588 - Default Emission Factors for Fuel Combustion, Table B-1</a:t>
          </a:r>
          <a:r>
            <a:rPr lang="en-US" sz="1200">
              <a:latin typeface="+mn-lt"/>
            </a:rPr>
            <a:t> </a:t>
          </a:r>
          <a:endParaRPr lang="en-US" sz="1400">
            <a:latin typeface="+mn-l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330200</xdr:colOff>
      <xdr:row>5</xdr:row>
      <xdr:rowOff>114300</xdr:rowOff>
    </xdr:from>
    <xdr:to>
      <xdr:col>10</xdr:col>
      <xdr:colOff>711200</xdr:colOff>
      <xdr:row>13</xdr:row>
      <xdr:rowOff>88900</xdr:rowOff>
    </xdr:to>
    <xdr:sp macro="" textlink="">
      <xdr:nvSpPr>
        <xdr:cNvPr id="2" name="TextBox 1">
          <a:extLst>
            <a:ext uri="{FF2B5EF4-FFF2-40B4-BE49-F238E27FC236}">
              <a16:creationId xmlns:a16="http://schemas.microsoft.com/office/drawing/2014/main" id="{9558BC48-A65D-2D4A-A534-BA32B6B610E2}"/>
            </a:ext>
          </a:extLst>
        </xdr:cNvPr>
        <xdr:cNvSpPr txBox="1"/>
      </xdr:nvSpPr>
      <xdr:spPr>
        <a:xfrm>
          <a:off x="330200" y="1219200"/>
          <a:ext cx="9537700" cy="1600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baseline="0"/>
        </a:p>
        <a:p>
          <a:r>
            <a:rPr lang="en-US" sz="1100"/>
            <a:t>Emission estimates are based on EPA's AP-42 (Chapter</a:t>
          </a:r>
          <a:r>
            <a:rPr lang="en-US" sz="1100" baseline="0"/>
            <a:t> 12.20.2) equation 4 as follows (See Note 1):</a:t>
          </a:r>
        </a:p>
      </xdr:txBody>
    </xdr:sp>
    <xdr:clientData/>
  </xdr:twoCellAnchor>
  <xdr:twoCellAnchor editAs="oneCell">
    <xdr:from>
      <xdr:col>0</xdr:col>
      <xdr:colOff>435770</xdr:colOff>
      <xdr:row>8</xdr:row>
      <xdr:rowOff>107950</xdr:rowOff>
    </xdr:from>
    <xdr:to>
      <xdr:col>3</xdr:col>
      <xdr:colOff>758030</xdr:colOff>
      <xdr:row>10</xdr:row>
      <xdr:rowOff>196850</xdr:rowOff>
    </xdr:to>
    <xdr:pic>
      <xdr:nvPicPr>
        <xdr:cNvPr id="3" name="Picture 2">
          <a:extLst>
            <a:ext uri="{FF2B5EF4-FFF2-40B4-BE49-F238E27FC236}">
              <a16:creationId xmlns:a16="http://schemas.microsoft.com/office/drawing/2014/main" id="{06B3D8FE-C241-0345-8999-21E7148BF130}"/>
            </a:ext>
          </a:extLst>
        </xdr:cNvPr>
        <xdr:cNvPicPr>
          <a:picLocks noChangeAspect="1"/>
        </xdr:cNvPicPr>
      </xdr:nvPicPr>
      <xdr:blipFill>
        <a:blip xmlns:r="http://schemas.openxmlformats.org/officeDocument/2006/relationships" r:embed="rId1"/>
        <a:stretch>
          <a:fillRect/>
        </a:stretch>
      </xdr:blipFill>
      <xdr:spPr>
        <a:xfrm>
          <a:off x="435770" y="1758950"/>
          <a:ext cx="3116260" cy="495300"/>
        </a:xfrm>
        <a:prstGeom prst="rect">
          <a:avLst/>
        </a:prstGeom>
      </xdr:spPr>
    </xdr:pic>
    <xdr:clientData/>
  </xdr:twoCellAnchor>
  <xdr:twoCellAnchor editAs="oneCell">
    <xdr:from>
      <xdr:col>6</xdr:col>
      <xdr:colOff>165497</xdr:colOff>
      <xdr:row>7</xdr:row>
      <xdr:rowOff>168378</xdr:rowOff>
    </xdr:from>
    <xdr:to>
      <xdr:col>9</xdr:col>
      <xdr:colOff>122676</xdr:colOff>
      <xdr:row>12</xdr:row>
      <xdr:rowOff>1356</xdr:rowOff>
    </xdr:to>
    <xdr:pic>
      <xdr:nvPicPr>
        <xdr:cNvPr id="4" name="Picture 3">
          <a:extLst>
            <a:ext uri="{FF2B5EF4-FFF2-40B4-BE49-F238E27FC236}">
              <a16:creationId xmlns:a16="http://schemas.microsoft.com/office/drawing/2014/main" id="{637C7953-F636-CB49-AE72-7E5FADD9E6D9}"/>
            </a:ext>
          </a:extLst>
        </xdr:cNvPr>
        <xdr:cNvPicPr>
          <a:picLocks noChangeAspect="1"/>
        </xdr:cNvPicPr>
      </xdr:nvPicPr>
      <xdr:blipFill>
        <a:blip xmlns:r="http://schemas.openxmlformats.org/officeDocument/2006/relationships" r:embed="rId2"/>
        <a:stretch>
          <a:fillRect/>
        </a:stretch>
      </xdr:blipFill>
      <xdr:spPr>
        <a:xfrm>
          <a:off x="5447422" y="1672186"/>
          <a:ext cx="3310768" cy="838231"/>
        </a:xfrm>
        <a:prstGeom prst="rect">
          <a:avLst/>
        </a:prstGeom>
      </xdr:spPr>
    </xdr:pic>
    <xdr:clientData/>
  </xdr:twoCellAnchor>
  <xdr:twoCellAnchor>
    <xdr:from>
      <xdr:col>0</xdr:col>
      <xdr:colOff>0</xdr:colOff>
      <xdr:row>39</xdr:row>
      <xdr:rowOff>0</xdr:rowOff>
    </xdr:from>
    <xdr:to>
      <xdr:col>16</xdr:col>
      <xdr:colOff>0</xdr:colOff>
      <xdr:row>45</xdr:row>
      <xdr:rowOff>190500</xdr:rowOff>
    </xdr:to>
    <xdr:sp macro="" textlink="">
      <xdr:nvSpPr>
        <xdr:cNvPr id="5" name="TextBox 4">
          <a:extLst>
            <a:ext uri="{FF2B5EF4-FFF2-40B4-BE49-F238E27FC236}">
              <a16:creationId xmlns:a16="http://schemas.microsoft.com/office/drawing/2014/main" id="{F2653117-FE69-F34F-9653-D6AF9DC1B8B2}"/>
            </a:ext>
          </a:extLst>
        </xdr:cNvPr>
        <xdr:cNvSpPr txBox="1"/>
      </xdr:nvSpPr>
      <xdr:spPr>
        <a:xfrm>
          <a:off x="0" y="8039100"/>
          <a:ext cx="14706600" cy="1409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u="sng"/>
            <a:t>Notes</a:t>
          </a:r>
        </a:p>
        <a:p>
          <a:endParaRPr lang="en-US" sz="1100"/>
        </a:p>
        <a:p>
          <a:r>
            <a:rPr lang="en-US" sz="1100"/>
            <a:t>Note 1:  Non aerated, non electrolytic tanks not containing volatile organic solvents are assummed to have negligible emissions as indicated in EPA's</a:t>
          </a:r>
          <a:r>
            <a:rPr lang="en-US" sz="1100" baseline="0"/>
            <a:t> "The Metal Finishing Facility Risk Screening Tool (MFFRST): Technical Documentation and User's Guide" (EPA/600/R-01/057), July, 2001, pg 2-33.  To be conservative, emissions from the pretreatment immersion bath tanks were estimated using the EPA equation for  electroplating emissions even though emissions should be negligible. Default parameters for surface tension, average bubble radius and aeration rate are taken from the MFFRST document page 2-36.</a:t>
          </a:r>
        </a:p>
        <a:p>
          <a:endParaRPr lang="en-US" sz="1100" baseline="0"/>
        </a:p>
        <a:p>
          <a:r>
            <a:rPr lang="en-US" sz="1100" baseline="0"/>
            <a:t>Note 2:  Where additives contained zinc- or nickel- based chemicals, the chemicals were assumed to fall under the CAS for zinc or nickel compounds if the CAS for the chemical was not on the DEQ list of air toxics.</a:t>
          </a:r>
        </a:p>
        <a:p>
          <a:r>
            <a:rPr lang="en-US" sz="1100" baseline="0"/>
            <a:t>Note 3: MWAF = Molecular Weight Adjustment Factor to express the emssion rate as the weight of the metal atom contained in the overall compound where necessary.</a:t>
          </a:r>
        </a:p>
        <a:p>
          <a:endParaRPr lang="en-US" sz="1100" baseline="0"/>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38100</xdr:colOff>
      <xdr:row>131</xdr:row>
      <xdr:rowOff>190500</xdr:rowOff>
    </xdr:from>
    <xdr:to>
      <xdr:col>7</xdr:col>
      <xdr:colOff>774700</xdr:colOff>
      <xdr:row>140</xdr:row>
      <xdr:rowOff>50800</xdr:rowOff>
    </xdr:to>
    <xdr:sp macro="" textlink="">
      <xdr:nvSpPr>
        <xdr:cNvPr id="2" name="TextBox 1">
          <a:extLst>
            <a:ext uri="{FF2B5EF4-FFF2-40B4-BE49-F238E27FC236}">
              <a16:creationId xmlns:a16="http://schemas.microsoft.com/office/drawing/2014/main" id="{9F22AABC-C3C7-0846-8A02-258E65BD5366}"/>
            </a:ext>
          </a:extLst>
        </xdr:cNvPr>
        <xdr:cNvSpPr txBox="1"/>
      </xdr:nvSpPr>
      <xdr:spPr>
        <a:xfrm>
          <a:off x="38100" y="35737800"/>
          <a:ext cx="7835900"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a:t>Potential Emissions from Non-Emergency &amp; Emergency Operations</a:t>
          </a:r>
        </a:p>
        <a:p>
          <a:endParaRPr lang="en-US" sz="1200"/>
        </a:p>
        <a:p>
          <a:r>
            <a:rPr lang="en-US" sz="1200"/>
            <a:t>Emission estimates for all operations (non-emergency</a:t>
          </a:r>
          <a:r>
            <a:rPr lang="en-US" sz="1200" baseline="0"/>
            <a:t> and emergency operations are based on the same emission factors derived for non-emergency operations).  The annual fuel use limit is being established to limit facility total emissions to below Oregon's Title V major source thresholds (e.g., 100 tpy of NOx)</a:t>
          </a:r>
        </a:p>
        <a:p>
          <a:endParaRPr lang="en-US" sz="1100"/>
        </a:p>
      </xdr:txBody>
    </xdr:sp>
    <xdr:clientData/>
  </xdr:twoCellAnchor>
  <xdr:twoCellAnchor>
    <xdr:from>
      <xdr:col>0</xdr:col>
      <xdr:colOff>165101</xdr:colOff>
      <xdr:row>28</xdr:row>
      <xdr:rowOff>50799</xdr:rowOff>
    </xdr:from>
    <xdr:to>
      <xdr:col>5</xdr:col>
      <xdr:colOff>520701</xdr:colOff>
      <xdr:row>32</xdr:row>
      <xdr:rowOff>193842</xdr:rowOff>
    </xdr:to>
    <xdr:sp macro="" textlink="">
      <xdr:nvSpPr>
        <xdr:cNvPr id="3" name="TextBox 2">
          <a:extLst>
            <a:ext uri="{FF2B5EF4-FFF2-40B4-BE49-F238E27FC236}">
              <a16:creationId xmlns:a16="http://schemas.microsoft.com/office/drawing/2014/main" id="{00F4AEBC-1CA5-4C47-9D64-410146C2740F}"/>
            </a:ext>
          </a:extLst>
        </xdr:cNvPr>
        <xdr:cNvSpPr txBox="1"/>
      </xdr:nvSpPr>
      <xdr:spPr>
        <a:xfrm>
          <a:off x="165101" y="6668167"/>
          <a:ext cx="6023811" cy="9451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0" i="0" u="none" strike="noStrike">
              <a:solidFill>
                <a:schemeClr val="dk1"/>
              </a:solidFill>
              <a:effectLst/>
              <a:latin typeface="+mn-lt"/>
              <a:ea typeface="+mn-ea"/>
              <a:cs typeface="+mn-cs"/>
            </a:rPr>
            <a:t>(2) AP-42  Table 12.19-2 (converted from units of 0.1 lb/1000</a:t>
          </a:r>
          <a:r>
            <a:rPr lang="en-US" sz="1100" b="0" i="0" u="none" strike="noStrike" baseline="0">
              <a:solidFill>
                <a:schemeClr val="dk1"/>
              </a:solidFill>
              <a:effectLst/>
              <a:latin typeface="+mn-lt"/>
              <a:ea typeface="+mn-ea"/>
              <a:cs typeface="+mn-cs"/>
            </a:rPr>
            <a:t> lb electrode)</a:t>
          </a:r>
        </a:p>
        <a:p>
          <a:endParaRPr lang="en-US" sz="1100" b="0" i="0" u="none" strike="noStrike">
            <a:solidFill>
              <a:schemeClr val="dk1"/>
            </a:solidFill>
            <a:effectLst/>
            <a:latin typeface="+mn-lt"/>
            <a:ea typeface="+mn-ea"/>
            <a:cs typeface="+mn-cs"/>
          </a:endParaRPr>
        </a:p>
        <a:p>
          <a:r>
            <a:rPr lang="en-US" sz="1100" b="0" i="0" u="none" strike="noStrike">
              <a:solidFill>
                <a:schemeClr val="tx1"/>
              </a:solidFill>
              <a:effectLst/>
              <a:latin typeface="+mn-lt"/>
              <a:ea typeface="+mn-ea"/>
              <a:cs typeface="+mn-cs"/>
            </a:rPr>
            <a:t>Note:</a:t>
          </a:r>
          <a:r>
            <a:rPr lang="en-US" sz="1100" b="0" i="0" u="none" strike="noStrike" baseline="0">
              <a:solidFill>
                <a:schemeClr val="tx1"/>
              </a:solidFill>
              <a:effectLst/>
              <a:latin typeface="+mn-lt"/>
              <a:ea typeface="+mn-ea"/>
              <a:cs typeface="+mn-cs"/>
            </a:rPr>
            <a:t> Chromium compounds are HAPs but not TACs.  AP-42 emission factor for Cr(VI), and ODEQ TAC is "ND"</a:t>
          </a:r>
          <a:endParaRPr lang="en-US" sz="1400">
            <a:solidFill>
              <a:schemeClr val="tx1"/>
            </a:solidFill>
            <a:latin typeface="+mn-l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38100</xdr:colOff>
      <xdr:row>168</xdr:row>
      <xdr:rowOff>190500</xdr:rowOff>
    </xdr:from>
    <xdr:to>
      <xdr:col>6</xdr:col>
      <xdr:colOff>774700</xdr:colOff>
      <xdr:row>177</xdr:row>
      <xdr:rowOff>50800</xdr:rowOff>
    </xdr:to>
    <xdr:sp macro="" textlink="">
      <xdr:nvSpPr>
        <xdr:cNvPr id="2" name="TextBox 1">
          <a:extLst>
            <a:ext uri="{FF2B5EF4-FFF2-40B4-BE49-F238E27FC236}">
              <a16:creationId xmlns:a16="http://schemas.microsoft.com/office/drawing/2014/main" id="{3B9A5D71-26AE-8D43-8D41-318A27600AD8}"/>
            </a:ext>
          </a:extLst>
        </xdr:cNvPr>
        <xdr:cNvSpPr txBox="1"/>
      </xdr:nvSpPr>
      <xdr:spPr>
        <a:xfrm>
          <a:off x="38100" y="42405300"/>
          <a:ext cx="7594600"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a:t>Potential Emissions from Non-Emergency &amp; Emergency Operations</a:t>
          </a:r>
        </a:p>
        <a:p>
          <a:endParaRPr lang="en-US" sz="1200"/>
        </a:p>
        <a:p>
          <a:r>
            <a:rPr lang="en-US" sz="1200"/>
            <a:t>Emission estimates for all operations (non-emergency</a:t>
          </a:r>
          <a:r>
            <a:rPr lang="en-US" sz="1200" baseline="0"/>
            <a:t> and emergency operations are based on the same emission factors derived for non-emergency operations).  The annual fuel use limit is being established to limit facility total emissions to below Oregon's Title V major source thresholds (e.g., 100 tpy of NOx)</a:t>
          </a:r>
        </a:p>
        <a:p>
          <a:endParaRPr lang="en-US" sz="1100"/>
        </a:p>
      </xdr:txBody>
    </xdr:sp>
    <xdr:clientData/>
  </xdr:twoCellAnchor>
  <xdr:twoCellAnchor>
    <xdr:from>
      <xdr:col>0</xdr:col>
      <xdr:colOff>165101</xdr:colOff>
      <xdr:row>65</xdr:row>
      <xdr:rowOff>50799</xdr:rowOff>
    </xdr:from>
    <xdr:to>
      <xdr:col>4</xdr:col>
      <xdr:colOff>520701</xdr:colOff>
      <xdr:row>68</xdr:row>
      <xdr:rowOff>167105</xdr:rowOff>
    </xdr:to>
    <xdr:sp macro="" textlink="">
      <xdr:nvSpPr>
        <xdr:cNvPr id="3" name="TextBox 2">
          <a:extLst>
            <a:ext uri="{FF2B5EF4-FFF2-40B4-BE49-F238E27FC236}">
              <a16:creationId xmlns:a16="http://schemas.microsoft.com/office/drawing/2014/main" id="{034C5A29-2574-1C42-AFBA-D00A381675B0}"/>
            </a:ext>
          </a:extLst>
        </xdr:cNvPr>
        <xdr:cNvSpPr txBox="1"/>
      </xdr:nvSpPr>
      <xdr:spPr>
        <a:xfrm>
          <a:off x="165101" y="14475325"/>
          <a:ext cx="6023811" cy="71788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mn-lt"/>
            </a:rPr>
            <a:t>(3) TAC</a:t>
          </a:r>
          <a:r>
            <a:rPr lang="en-US" sz="1200" baseline="0">
              <a:latin typeface="+mn-lt"/>
            </a:rPr>
            <a:t> Emission Factors from ODEQ ATEI Combustion Emission Factor Tool: </a:t>
          </a:r>
          <a:r>
            <a:rPr lang="en-US" sz="1200" b="0" i="0" u="none" strike="noStrike">
              <a:solidFill>
                <a:srgbClr val="000000"/>
              </a:solidFill>
              <a:effectLst/>
              <a:latin typeface="+mn-lt"/>
            </a:rPr>
            <a:t>WebFIRE/ AP-42 Section 1.4 (metals); SCAQMD AB2588 - Default Emission Factors for Fuel Combustion, Table B-1</a:t>
          </a:r>
          <a:r>
            <a:rPr lang="en-US" sz="1200">
              <a:latin typeface="+mn-lt"/>
            </a:rPr>
            <a:t> </a:t>
          </a:r>
          <a:endParaRPr lang="en-US" sz="1400">
            <a:latin typeface="+mn-lt"/>
          </a:endParaRPr>
        </a:p>
      </xdr:txBody>
    </xdr:sp>
    <xdr:clientData/>
  </xdr:twoCellAnchor>
  <xdr:twoCellAnchor>
    <xdr:from>
      <xdr:col>0</xdr:col>
      <xdr:colOff>117643</xdr:colOff>
      <xdr:row>69</xdr:row>
      <xdr:rowOff>127936</xdr:rowOff>
    </xdr:from>
    <xdr:to>
      <xdr:col>4</xdr:col>
      <xdr:colOff>377978</xdr:colOff>
      <xdr:row>73</xdr:row>
      <xdr:rowOff>90714</xdr:rowOff>
    </xdr:to>
    <xdr:sp macro="" textlink="">
      <xdr:nvSpPr>
        <xdr:cNvPr id="4" name="TextBox 3">
          <a:extLst>
            <a:ext uri="{FF2B5EF4-FFF2-40B4-BE49-F238E27FC236}">
              <a16:creationId xmlns:a16="http://schemas.microsoft.com/office/drawing/2014/main" id="{C73F18C9-8913-0640-8196-219BDC882FD5}"/>
            </a:ext>
          </a:extLst>
        </xdr:cNvPr>
        <xdr:cNvSpPr txBox="1"/>
      </xdr:nvSpPr>
      <xdr:spPr>
        <a:xfrm>
          <a:off x="117643" y="15186507"/>
          <a:ext cx="6081168" cy="748969"/>
        </a:xfrm>
        <a:prstGeom prst="rect">
          <a:avLst/>
        </a:prstGeom>
        <a:solidFill>
          <a:schemeClr val="accent2"/>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De minimis emission levels are</a:t>
          </a:r>
          <a:r>
            <a:rPr lang="en-US" sz="1200" baseline="0"/>
            <a:t> 1.0 tpy for each criteria pollutant and 2,756 tpy for greenhouse gases per OAR 340-200-0020(39).  Aggregate expected actual annual emissions from these units are below these levels and the equipment is categorically insignificant per LRAPA 12-005.</a:t>
          </a:r>
        </a:p>
        <a:p>
          <a:endParaRPr lang="en-US" sz="14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168</xdr:row>
      <xdr:rowOff>190500</xdr:rowOff>
    </xdr:from>
    <xdr:to>
      <xdr:col>6</xdr:col>
      <xdr:colOff>774700</xdr:colOff>
      <xdr:row>177</xdr:row>
      <xdr:rowOff>50800</xdr:rowOff>
    </xdr:to>
    <xdr:sp macro="" textlink="">
      <xdr:nvSpPr>
        <xdr:cNvPr id="2" name="TextBox 1">
          <a:extLst>
            <a:ext uri="{FF2B5EF4-FFF2-40B4-BE49-F238E27FC236}">
              <a16:creationId xmlns:a16="http://schemas.microsoft.com/office/drawing/2014/main" id="{AF8E023F-BD86-A545-AE9E-9B837ACF327F}"/>
            </a:ext>
          </a:extLst>
        </xdr:cNvPr>
        <xdr:cNvSpPr txBox="1"/>
      </xdr:nvSpPr>
      <xdr:spPr>
        <a:xfrm>
          <a:off x="38100" y="35737800"/>
          <a:ext cx="7835900"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a:t>Potential Emissions from Non-Emergency &amp; Emergency Operations</a:t>
          </a:r>
        </a:p>
        <a:p>
          <a:endParaRPr lang="en-US" sz="1200"/>
        </a:p>
        <a:p>
          <a:r>
            <a:rPr lang="en-US" sz="1200"/>
            <a:t>Emission estimates for all operations (non-emergency</a:t>
          </a:r>
          <a:r>
            <a:rPr lang="en-US" sz="1200" baseline="0"/>
            <a:t> and emergency operations are based on the same emission factors derived for non-emergency operations).  The annual fuel use limit is being established to limit facility total emissions to below Oregon's Title V major source thresholds (e.g., 100 tpy of NOx)</a:t>
          </a:r>
        </a:p>
        <a:p>
          <a:endParaRPr lang="en-US" sz="1100"/>
        </a:p>
      </xdr:txBody>
    </xdr:sp>
    <xdr:clientData/>
  </xdr:twoCellAnchor>
  <xdr:twoCellAnchor>
    <xdr:from>
      <xdr:col>0</xdr:col>
      <xdr:colOff>165101</xdr:colOff>
      <xdr:row>65</xdr:row>
      <xdr:rowOff>50799</xdr:rowOff>
    </xdr:from>
    <xdr:to>
      <xdr:col>4</xdr:col>
      <xdr:colOff>520701</xdr:colOff>
      <xdr:row>68</xdr:row>
      <xdr:rowOff>167105</xdr:rowOff>
    </xdr:to>
    <xdr:sp macro="" textlink="">
      <xdr:nvSpPr>
        <xdr:cNvPr id="3" name="TextBox 2">
          <a:extLst>
            <a:ext uri="{FF2B5EF4-FFF2-40B4-BE49-F238E27FC236}">
              <a16:creationId xmlns:a16="http://schemas.microsoft.com/office/drawing/2014/main" id="{D9D6389A-6266-9444-98DC-B4D832D8F924}"/>
            </a:ext>
          </a:extLst>
        </xdr:cNvPr>
        <xdr:cNvSpPr txBox="1"/>
      </xdr:nvSpPr>
      <xdr:spPr>
        <a:xfrm>
          <a:off x="165101" y="14566899"/>
          <a:ext cx="6019800" cy="7259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mn-lt"/>
            </a:rPr>
            <a:t>(3) TAC</a:t>
          </a:r>
          <a:r>
            <a:rPr lang="en-US" sz="1200" baseline="0">
              <a:latin typeface="+mn-lt"/>
            </a:rPr>
            <a:t> Emission Factors from ODEQ ATEI Combustion Emission Factor Tool: </a:t>
          </a:r>
          <a:r>
            <a:rPr lang="en-US" sz="1200" b="0" i="0" u="none" strike="noStrike">
              <a:solidFill>
                <a:srgbClr val="000000"/>
              </a:solidFill>
              <a:effectLst/>
              <a:latin typeface="+mn-lt"/>
            </a:rPr>
            <a:t>WebFIRE/ AP-42 Section 1.4 (metals); SCAQMD AB2588 - Default Emission Factors for Fuel Combustion, Table B-1</a:t>
          </a:r>
          <a:r>
            <a:rPr lang="en-US" sz="1200">
              <a:latin typeface="+mn-lt"/>
            </a:rPr>
            <a:t> </a:t>
          </a:r>
          <a:endParaRPr lang="en-US" sz="1400">
            <a:latin typeface="+mn-lt"/>
          </a:endParaRPr>
        </a:p>
      </xdr:txBody>
    </xdr:sp>
    <xdr:clientData/>
  </xdr:twoCellAnchor>
  <xdr:twoCellAnchor>
    <xdr:from>
      <xdr:col>0</xdr:col>
      <xdr:colOff>117642</xdr:colOff>
      <xdr:row>69</xdr:row>
      <xdr:rowOff>127936</xdr:rowOff>
    </xdr:from>
    <xdr:to>
      <xdr:col>4</xdr:col>
      <xdr:colOff>635000</xdr:colOff>
      <xdr:row>73</xdr:row>
      <xdr:rowOff>173182</xdr:rowOff>
    </xdr:to>
    <xdr:sp macro="" textlink="">
      <xdr:nvSpPr>
        <xdr:cNvPr id="4" name="TextBox 3">
          <a:extLst>
            <a:ext uri="{FF2B5EF4-FFF2-40B4-BE49-F238E27FC236}">
              <a16:creationId xmlns:a16="http://schemas.microsoft.com/office/drawing/2014/main" id="{82CB72BC-9356-6B43-8579-39B804A344EB}"/>
            </a:ext>
          </a:extLst>
        </xdr:cNvPr>
        <xdr:cNvSpPr txBox="1"/>
      </xdr:nvSpPr>
      <xdr:spPr>
        <a:xfrm>
          <a:off x="117642" y="15367936"/>
          <a:ext cx="6189063" cy="853428"/>
        </a:xfrm>
        <a:prstGeom prst="rect">
          <a:avLst/>
        </a:prstGeom>
        <a:solidFill>
          <a:schemeClr val="accent2"/>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De minimis emission levels are</a:t>
          </a:r>
          <a:r>
            <a:rPr lang="en-US" sz="1200" baseline="0"/>
            <a:t> 1.0 tpy for each criteria pollutant and 2,756 tpy for greenhouse gases per OAR 340-200-0020(39).  Aggregate expected actual annual emissions from these units are below these levels and the equipment is categorically insignificant per LRAPA 12-005.</a:t>
          </a:r>
        </a:p>
        <a:p>
          <a:endParaRPr lang="en-US" sz="14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168</xdr:row>
      <xdr:rowOff>190500</xdr:rowOff>
    </xdr:from>
    <xdr:to>
      <xdr:col>6</xdr:col>
      <xdr:colOff>774700</xdr:colOff>
      <xdr:row>177</xdr:row>
      <xdr:rowOff>50800</xdr:rowOff>
    </xdr:to>
    <xdr:sp macro="" textlink="">
      <xdr:nvSpPr>
        <xdr:cNvPr id="2" name="TextBox 1">
          <a:extLst>
            <a:ext uri="{FF2B5EF4-FFF2-40B4-BE49-F238E27FC236}">
              <a16:creationId xmlns:a16="http://schemas.microsoft.com/office/drawing/2014/main" id="{8ED394C9-2E28-1C46-8FF4-C2BA4560262F}"/>
            </a:ext>
          </a:extLst>
        </xdr:cNvPr>
        <xdr:cNvSpPr txBox="1"/>
      </xdr:nvSpPr>
      <xdr:spPr>
        <a:xfrm>
          <a:off x="38100" y="35737800"/>
          <a:ext cx="7988300"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a:t>Potential Emissions from Non-Emergency &amp; Emergency Operations</a:t>
          </a:r>
        </a:p>
        <a:p>
          <a:endParaRPr lang="en-US" sz="1200"/>
        </a:p>
        <a:p>
          <a:r>
            <a:rPr lang="en-US" sz="1200"/>
            <a:t>Emission estimates for all operations (non-emergency</a:t>
          </a:r>
          <a:r>
            <a:rPr lang="en-US" sz="1200" baseline="0"/>
            <a:t> and emergency operations are based on the same emission factors derived for non-emergency operations).  The annual fuel use limit is being established to limit facility total emissions to below Oregon's Title V major source thresholds (e.g., 100 tpy of NOx)</a:t>
          </a:r>
        </a:p>
        <a:p>
          <a:endParaRPr lang="en-US" sz="1100"/>
        </a:p>
      </xdr:txBody>
    </xdr:sp>
    <xdr:clientData/>
  </xdr:twoCellAnchor>
  <xdr:twoCellAnchor>
    <xdr:from>
      <xdr:col>0</xdr:col>
      <xdr:colOff>165101</xdr:colOff>
      <xdr:row>65</xdr:row>
      <xdr:rowOff>50799</xdr:rowOff>
    </xdr:from>
    <xdr:to>
      <xdr:col>4</xdr:col>
      <xdr:colOff>520701</xdr:colOff>
      <xdr:row>68</xdr:row>
      <xdr:rowOff>167105</xdr:rowOff>
    </xdr:to>
    <xdr:sp macro="" textlink="">
      <xdr:nvSpPr>
        <xdr:cNvPr id="3" name="TextBox 2">
          <a:extLst>
            <a:ext uri="{FF2B5EF4-FFF2-40B4-BE49-F238E27FC236}">
              <a16:creationId xmlns:a16="http://schemas.microsoft.com/office/drawing/2014/main" id="{FB79291E-EAA2-4248-B254-AA859F235AB9}"/>
            </a:ext>
          </a:extLst>
        </xdr:cNvPr>
        <xdr:cNvSpPr txBox="1"/>
      </xdr:nvSpPr>
      <xdr:spPr>
        <a:xfrm>
          <a:off x="165101" y="14566899"/>
          <a:ext cx="6172200" cy="7259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mn-lt"/>
            </a:rPr>
            <a:t>(3) TAC</a:t>
          </a:r>
          <a:r>
            <a:rPr lang="en-US" sz="1200" baseline="0">
              <a:latin typeface="+mn-lt"/>
            </a:rPr>
            <a:t> Emission Factors from ODEQ ATEI Combustion Emission Factor Tool: </a:t>
          </a:r>
          <a:r>
            <a:rPr lang="en-US" sz="1200" b="0" i="0" u="none" strike="noStrike">
              <a:solidFill>
                <a:srgbClr val="000000"/>
              </a:solidFill>
              <a:effectLst/>
              <a:latin typeface="+mn-lt"/>
            </a:rPr>
            <a:t>WebFIRE/ AP-42 Section 1.4 (metals); SCAQMD AB2588 - Default Emission Factors for Fuel Combustion, Table B-1</a:t>
          </a:r>
          <a:r>
            <a:rPr lang="en-US" sz="1200">
              <a:latin typeface="+mn-lt"/>
            </a:rPr>
            <a:t> </a:t>
          </a:r>
          <a:endParaRPr lang="en-US" sz="1400">
            <a:latin typeface="+mn-lt"/>
          </a:endParaRPr>
        </a:p>
      </xdr:txBody>
    </xdr:sp>
    <xdr:clientData/>
  </xdr:twoCellAnchor>
  <xdr:twoCellAnchor>
    <xdr:from>
      <xdr:col>0</xdr:col>
      <xdr:colOff>117642</xdr:colOff>
      <xdr:row>69</xdr:row>
      <xdr:rowOff>127936</xdr:rowOff>
    </xdr:from>
    <xdr:to>
      <xdr:col>4</xdr:col>
      <xdr:colOff>582706</xdr:colOff>
      <xdr:row>73</xdr:row>
      <xdr:rowOff>134470</xdr:rowOff>
    </xdr:to>
    <xdr:sp macro="" textlink="">
      <xdr:nvSpPr>
        <xdr:cNvPr id="4" name="TextBox 3">
          <a:extLst>
            <a:ext uri="{FF2B5EF4-FFF2-40B4-BE49-F238E27FC236}">
              <a16:creationId xmlns:a16="http://schemas.microsoft.com/office/drawing/2014/main" id="{91833EEE-A7D4-7749-A462-EDC5CF1BF753}"/>
            </a:ext>
          </a:extLst>
        </xdr:cNvPr>
        <xdr:cNvSpPr txBox="1"/>
      </xdr:nvSpPr>
      <xdr:spPr>
        <a:xfrm>
          <a:off x="117642" y="15771348"/>
          <a:ext cx="6277182" cy="843240"/>
        </a:xfrm>
        <a:prstGeom prst="rect">
          <a:avLst/>
        </a:prstGeom>
        <a:solidFill>
          <a:schemeClr val="accent2"/>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De minimis emission levels are</a:t>
          </a:r>
          <a:r>
            <a:rPr lang="en-US" sz="1200" baseline="0"/>
            <a:t> 1.0 tpy for each criteria pollutant and 2,756 tpy for greenhouse gases per OAR 340-200-0020(39).  Aggregate expected actual annual emissions from these units are below these levels and the equipment is categorically insignificant per LRAPA 12-005.</a:t>
          </a:r>
        </a:p>
        <a:p>
          <a:endParaRPr lang="en-US" sz="14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168</xdr:row>
      <xdr:rowOff>190500</xdr:rowOff>
    </xdr:from>
    <xdr:to>
      <xdr:col>6</xdr:col>
      <xdr:colOff>774700</xdr:colOff>
      <xdr:row>177</xdr:row>
      <xdr:rowOff>50800</xdr:rowOff>
    </xdr:to>
    <xdr:sp macro="" textlink="">
      <xdr:nvSpPr>
        <xdr:cNvPr id="2" name="TextBox 1">
          <a:extLst>
            <a:ext uri="{FF2B5EF4-FFF2-40B4-BE49-F238E27FC236}">
              <a16:creationId xmlns:a16="http://schemas.microsoft.com/office/drawing/2014/main" id="{5E94A1B0-4A28-114F-A1EB-4C897E87DC9E}"/>
            </a:ext>
          </a:extLst>
        </xdr:cNvPr>
        <xdr:cNvSpPr txBox="1"/>
      </xdr:nvSpPr>
      <xdr:spPr>
        <a:xfrm>
          <a:off x="38100" y="35737800"/>
          <a:ext cx="7835900"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a:t>Potential Emissions from Non-Emergency &amp; Emergency Operations</a:t>
          </a:r>
        </a:p>
        <a:p>
          <a:endParaRPr lang="en-US" sz="1200"/>
        </a:p>
        <a:p>
          <a:r>
            <a:rPr lang="en-US" sz="1200"/>
            <a:t>Emission estimates for all operations (non-emergency</a:t>
          </a:r>
          <a:r>
            <a:rPr lang="en-US" sz="1200" baseline="0"/>
            <a:t> and emergency operations are based on the same emission factors derived for non-emergency operations).  The annual fuel use limit is being established to limit facility total emissions to below Oregon's Title V major source thresholds (e.g., 100 tpy of NOx)</a:t>
          </a:r>
        </a:p>
        <a:p>
          <a:endParaRPr lang="en-US" sz="1100"/>
        </a:p>
      </xdr:txBody>
    </xdr:sp>
    <xdr:clientData/>
  </xdr:twoCellAnchor>
  <xdr:twoCellAnchor>
    <xdr:from>
      <xdr:col>0</xdr:col>
      <xdr:colOff>165101</xdr:colOff>
      <xdr:row>65</xdr:row>
      <xdr:rowOff>50799</xdr:rowOff>
    </xdr:from>
    <xdr:to>
      <xdr:col>4</xdr:col>
      <xdr:colOff>520701</xdr:colOff>
      <xdr:row>68</xdr:row>
      <xdr:rowOff>167105</xdr:rowOff>
    </xdr:to>
    <xdr:sp macro="" textlink="">
      <xdr:nvSpPr>
        <xdr:cNvPr id="3" name="TextBox 2">
          <a:extLst>
            <a:ext uri="{FF2B5EF4-FFF2-40B4-BE49-F238E27FC236}">
              <a16:creationId xmlns:a16="http://schemas.microsoft.com/office/drawing/2014/main" id="{2DFCF224-DC8A-354F-AD73-F54174E93E28}"/>
            </a:ext>
          </a:extLst>
        </xdr:cNvPr>
        <xdr:cNvSpPr txBox="1"/>
      </xdr:nvSpPr>
      <xdr:spPr>
        <a:xfrm>
          <a:off x="165101" y="14566899"/>
          <a:ext cx="6019800" cy="7259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mn-lt"/>
            </a:rPr>
            <a:t>(3) TAC</a:t>
          </a:r>
          <a:r>
            <a:rPr lang="en-US" sz="1200" baseline="0">
              <a:latin typeface="+mn-lt"/>
            </a:rPr>
            <a:t> Emission Factors from ODEQ ATEI Combustion Emission Factor Tool: </a:t>
          </a:r>
          <a:r>
            <a:rPr lang="en-US" sz="1200" b="0" i="0" u="none" strike="noStrike">
              <a:solidFill>
                <a:srgbClr val="000000"/>
              </a:solidFill>
              <a:effectLst/>
              <a:latin typeface="+mn-lt"/>
            </a:rPr>
            <a:t>WebFIRE/ AP-42 Section 1.4 (metals); SCAQMD AB2588 - Default Emission Factors for Fuel Combustion, Table B-1</a:t>
          </a:r>
          <a:r>
            <a:rPr lang="en-US" sz="1200">
              <a:latin typeface="+mn-lt"/>
            </a:rPr>
            <a:t> </a:t>
          </a:r>
          <a:endParaRPr lang="en-US" sz="1400">
            <a:latin typeface="+mn-lt"/>
          </a:endParaRPr>
        </a:p>
      </xdr:txBody>
    </xdr:sp>
    <xdr:clientData/>
  </xdr:twoCellAnchor>
  <xdr:twoCellAnchor>
    <xdr:from>
      <xdr:col>0</xdr:col>
      <xdr:colOff>117643</xdr:colOff>
      <xdr:row>69</xdr:row>
      <xdr:rowOff>127936</xdr:rowOff>
    </xdr:from>
    <xdr:to>
      <xdr:col>4</xdr:col>
      <xdr:colOff>453571</xdr:colOff>
      <xdr:row>73</xdr:row>
      <xdr:rowOff>120952</xdr:rowOff>
    </xdr:to>
    <xdr:sp macro="" textlink="">
      <xdr:nvSpPr>
        <xdr:cNvPr id="4" name="TextBox 3">
          <a:extLst>
            <a:ext uri="{FF2B5EF4-FFF2-40B4-BE49-F238E27FC236}">
              <a16:creationId xmlns:a16="http://schemas.microsoft.com/office/drawing/2014/main" id="{99339311-A15E-2840-B01A-C83A09AB844A}"/>
            </a:ext>
          </a:extLst>
        </xdr:cNvPr>
        <xdr:cNvSpPr txBox="1"/>
      </xdr:nvSpPr>
      <xdr:spPr>
        <a:xfrm>
          <a:off x="117643" y="15186507"/>
          <a:ext cx="6005571" cy="779207"/>
        </a:xfrm>
        <a:prstGeom prst="rect">
          <a:avLst/>
        </a:prstGeom>
        <a:solidFill>
          <a:schemeClr val="accent2"/>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De minimis emission levels are</a:t>
          </a:r>
          <a:r>
            <a:rPr lang="en-US" sz="1200" baseline="0"/>
            <a:t> 1.0 tpy for each criteria pollutant and 2,756 tpy for greenhouse gases per OAR 340-200-0020(39).  Aggregate expected actual annual emissions from these units are below these levels and the equipment is categorically insignificant per LRAPA 12-005.</a:t>
          </a:r>
        </a:p>
        <a:p>
          <a:endParaRPr lang="en-US" sz="14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rsrv01\Users\Users\jbrowning\Bridgewater%20Group%20Dropbox\John%20Browning\Arcimoto\Chem_Bath_Calculations\EIQDEC04.xl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file:///\\lrsrv01\Users\Jamie\Project%20Work\Linde%20Gas%20NA%20LLC\09013.29,%20Gen.%20Consult%204.2004%20-%2012.2005\Clean-up%20Amendment%20-%20October%202005\Documents%20and%20Settings\HERVEYC\Local%20Settings\Temp\EHS\AIR\white\refinery%20verp\refinery%20verp%20tables%20update.xls?E7AE984C" TargetMode="External"/><Relationship Id="rId1" Type="http://schemas.openxmlformats.org/officeDocument/2006/relationships/externalLinkPath" Target="file:///\\E7AE984C\refinery%20verp%20tables%20updat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rsrv01\Users\Users\jbrowning\Bridgewater%20Group%20Dropbox\John%20Browning\Arcimoto\Chem_Bath_Calculations\TOCAL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rsrv01\Users\Users\jbrowning\Bridgewater%20Group%20Dropbox\John%20Browning\Arcimoto\Chem_Bath_Calculations\Hhv.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C:\Users\jbrowning\Documents\Schnitzer_Confidential\Air_Permitting\Stand_ACDP_Appl_WIP\smrymai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rsrv01\Users\Users\jbrowning\Bridgewater%20Group%20Dropbox\John%20Browning\Arcimoto\Chem_Bath_Calculations\Comm%20Generator%20C3%20EIQ%20(Go%20BY).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rsrv01\Users\Users\jbrowning\Bridgewater%20Group%20Dropbox\John%20Browning\Arcimoto\Chem_Bath_Calculations\Universal_Aero_air_calcs_R1.xlsx"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file:///E:\Users\jbrowning\Documents\Intel_PSD\0_From_SP_Post_App_Submission\ApplicationLetter+FluorideAssess\1_Application\3_App_C_Emissions_Calculations_J_Browning\PermitApplicationEmissionRates11-19_sbs%20122214_jpb_12_26_14.xlsx?3E8771B3" TargetMode="External"/><Relationship Id="rId1" Type="http://schemas.openxmlformats.org/officeDocument/2006/relationships/externalLinkPath" Target="file:///\\3E8771B3\PermitApplicationEmissionRates11-19_sbs%20122214_jpb_12_26_1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C:\Users\jbrowning\Documents\Air_Toxics_Gen\AT_EFs_Combustion.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C:\Users\jbrowning\Documents\Myers_New_Oregon_Facility\EI_and_Risk_Assessment\Myers_EI_WIP.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rsrv01\Users\Users\jbrowning\Bridgewater%20Group%20Dropbox\John%20Browning\Arcimoto\Chem_Bath_Calculations\FLAR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C:\Users\jbrowning\Documents\Schnitzer_Confidential\Air_Permitting\Stand_ACDP_Appl_WIP\NOxCO%20analysis_15.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D:\C:\Users\jbrowning\Documents\Schnitzer_Confidential\Air_Permitting\Stand_ACDP_Appl_WIP\1265GWGs.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D:\C:\Users\jbrowning\Documents\Intel_PSD\0_From_SP_Post_App_Submission\ApplicationLetter+FluorideAssess\1_Application\3_App_C_Emissions_Calculations_J_Browning\PM%20Rev%201.xlsx"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file:///\\lrsrv01\Users\Jamie\Project%20Work\Linde%20Gas%20NA%20LLC\09013.29,%20Gen.%20Consult%204.2004%20-%2012.2005\Clean-up%20Amendment%20-%20October%202005\Documents%20and%20Settings\HERVEYC\Local%20Settings\Temp\DOCUME~1\HOPPERTM\LOCALS~1\Temp\Old%20Calcs\Tables.xls?8E2D13AD" TargetMode="External"/><Relationship Id="rId1" Type="http://schemas.openxmlformats.org/officeDocument/2006/relationships/externalLinkPath" Target="file:///\\8E2D13AD\Table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rsrv01\Users\Users\jbrowning\Bridgewater%20Group%20Dropbox\John%20Browning\Arcimoto\Chem_Bath_Calculations\MACRO1"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rsrv01\Users\Users\jbrowning\Bridgewater%20Group%20Dropbox\John%20Browning\Arcimoto\Chem_Bath_Calculations\Monthly%20Data%20Collection%20Tool_draft.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rsrv01\Users\Users\fbian\Desktop\Tervita%20PBR\Tervita%20PBR\Tervita%20MSS%20Calcs.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rsrv01\Users\Users\jbrowning\Bridgewater%20Group%20Dropbox\John%20Browning\Arcimoto\Chem_Bath_Calculations\Valero%20Corpus%20Terminalv1.07.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file:///\\lrsrv01\Users\Jamie\Project%20Work\Linde%20Gas%20NA%20LLC\09013.29,%20Gen.%20Consult%204.2004%20-%2012.2005\Clean-up%20Amendment%20-%20October%202005\Documents%20and%20Settings\BARRONJ\Local%20Settings\Temp\2002%20EI%20-%20LaPorte%20Methanol\Final%202002%20EI\Fixed%20Roof%20Calcs..xls?CD1080C3" TargetMode="External"/><Relationship Id="rId1" Type="http://schemas.openxmlformats.org/officeDocument/2006/relationships/externalLinkPath" Target="file:///\\CD1080C3\Fixed%20Roof%20Calc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rsrv01\Users\Users\jbrowning\Bridgewater%20Group%20Dropbox\John%20Browning\Arcimoto\Chem_Bath_Calculations\EIQRNG97.XLW"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home.cheniere.com/P/11/111901.0053%20-%20Placid%20ICR%20Component%202/Deliverables/Refinery_Wastewater_Emissions_Tool%20v1.2.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D:\C:\Users\jbrowning\Documents\Schnitzer_Confidential\Air_Permitting\Stand_ACDP_Appl_WIP\VOC%20Calculation%20Tool28%20June%20200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rsrv01\Users\Users\jbrowning\Bridgewater%20Group%20Dropbox\John%20Browning\Genentech_Confidential\CAO_Level_3\Confidential_Genentech_Emission_Calc_REV_WIP_10_2_20.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rsrv01\Users\Users\jbrowning\Bridgewater%20Group%20Dropbox\John%20Browning\Arcimoto\Chem_Bath_Calculations\Swinging%20Bridge%202004%20EIQ.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lrsrv01\Users\Jamie\Project%20Work\Linde%20Gas%20NA%20LLC\09013.29,%20Gen.%20Consult%204.2004%20-%2012.2005\Clean-up%20Amendment%20-%20October%202005\DATA\AIRGROUP\PROJECTS\BP\Choc_B\olefins%20permit\flex\sources.xls" TargetMode="External"/></Relationships>
</file>

<file path=xl/externalLinks/_rels/externalLink27.xml.rels><?xml version="1.0" encoding="UTF-8" standalone="yes"?>
<Relationships xmlns="http://schemas.openxmlformats.org/package/2006/relationships"><Relationship Id="rId2" Type="http://schemas.microsoft.com/office/2019/04/relationships/externalLinkLongPath" Target="file:///\\lrsrv01\Users\Jamie\Project%20Work\Linde%20Gas%20NA%20LLC\09013.29,%20Gen.%20Consult%204.2004%20-%2012.2005\Clean-up%20Amendment%20-%20October%202005\Documents%20and%20Settings\HERVEYC\Local%20Settings\Temp\Praxair\00-71497.02\HU4%20Permit%20Application\HU4%20Permit%20Calculations.xls?D6907A28" TargetMode="External"/><Relationship Id="rId1" Type="http://schemas.openxmlformats.org/officeDocument/2006/relationships/externalLinkPath" Target="file:///\\D6907A28\HU4%20Permit%20Calculations.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file:///\\lrsrv01\Users\Jamie\Project%20Work\Linde%20Gas%20NA%20LLC\09013.29,%20Gen.%20Consult%204.2004%20-%2012.2005\Clean-up%20Amendment%20-%20October%202005\Documents%20and%20Settings\HERVEYC\Local%20Settings\Temp\00-71497.08,%20Flexible%20Permit%20Application\7149708.xls?D2DC2F59" TargetMode="External"/><Relationship Id="rId1" Type="http://schemas.openxmlformats.org/officeDocument/2006/relationships/externalLinkPath" Target="file:///\\D2DC2F59\7149708.xls" TargetMode="External"/></Relationships>
</file>

<file path=xl/externalLinks/_rels/externalLink29.xml.rels><?xml version="1.0" encoding="UTF-8" standalone="yes"?>
<Relationships xmlns="http://schemas.openxmlformats.org/package/2006/relationships"><Relationship Id="rId2" Type="http://schemas.microsoft.com/office/2019/04/relationships/externalLinkLongPath" Target="file:///\\lrsrv01\Users\Jamie\Project%20Work\Linde%20Gas%20NA%20LLC\09013.29,%20Gen.%20Consult%204.2004%20-%2012.2005\Clean-up%20Amendment%20-%20October%202005\Documents%20and%20Settings\HERVEYC\Local%20Settings\Temp\DATA\PROJECTS\UNIONCBD\EPR\CALCS\T_FLARE.XLS?952AB096" TargetMode="External"/><Relationship Id="rId1" Type="http://schemas.openxmlformats.org/officeDocument/2006/relationships/externalLinkPath" Target="file:///\\952AB096\T_FLARE.XLS" TargetMode="External"/></Relationships>
</file>

<file path=xl/externalLinks/_rels/externalLink30.xml.rels><?xml version="1.0" encoding="UTF-8" standalone="yes"?>
<Relationships xmlns="http://schemas.openxmlformats.org/package/2006/relationships"><Relationship Id="rId2" Type="http://schemas.microsoft.com/office/2019/04/relationships/externalLinkLongPath" Target="file:///\\lrsrv01\Users\Jamie\Project%20Work\Linde%20Gas%20NA%20LLC\09013.29,%20Gen.%20Consult%204.2004%20-%2012.2005\Clean-up%20Amendment%20-%20October%202005\Documents%20and%20Settings\HERVEYC\Local%20Settings\Temp\DATA\AIRGROUP\PROJECTS\HUNTSMAN\DOCUMENT\ALLCALCS.XLS?599F4126" TargetMode="External"/><Relationship Id="rId1" Type="http://schemas.openxmlformats.org/officeDocument/2006/relationships/externalLinkPath" Target="file:///\\599F4126\ALLCALC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rsrv01\Users\Users\jbrowning\Bridgewater%20Group%20Dropbox\John%20Browning\Arcimoto\Chem_Bath_Calculations\2002%20EI%20v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Vasquez-Beggs Equation (VBE)"/>
      <sheetName val="x-MACRO1"/>
      <sheetName val="Vasquez-Beggs Equation (VBE)"/>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3-1"/>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IL4FO"/>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eciation (Kellogg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nk"/>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op-Down Box Data"/>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n_Electo_Tanks"/>
      <sheetName val="Summary_Criteria"/>
      <sheetName val="Electrolytic Tank Emissions"/>
    </sheet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GEN EF Ref2"/>
      <sheetName val="1_Boilers"/>
      <sheetName val="3_BSSW"/>
      <sheetName val="4_ EGENs Fire Pumps"/>
      <sheetName val="5_Heaters"/>
      <sheetName val="2_ RCTOs - Combustion"/>
      <sheetName val="6_TMXW"/>
      <sheetName val="7_Cooling Tow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T_EFs_Combustion"/>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yers_EI_WIP"/>
      <sheetName val="Boiler_NG"/>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Flare"/>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G Usage vs Oxidizer Temp"/>
      <sheetName val="Emission Factors"/>
      <sheetName val="Assumptions"/>
      <sheetName val="Assumptions1"/>
      <sheetName val="Model"/>
      <sheetName val="Paret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WGs Summary"/>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
      <sheetName val="CoolingTower PTE"/>
    </sheet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areBckup"/>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Fs"/>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OR"/>
      <sheetName val="Heaters-Boilers"/>
      <sheetName val="MSS FLR Tank Landing Loss"/>
    </sheetNames>
    <sheetDataSet>
      <sheetData sheetId="0" refreshError="1"/>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ndard Values"/>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s>
    <sheetDataSet>
      <sheetData sheetId="0" refreshError="1"/>
      <sheetData sheetId="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POTW Discharge"/>
      <sheetName val="Wastewater Collection System"/>
      <sheetName val="Weir"/>
      <sheetName val="Oil-Water Separators"/>
      <sheetName val="DAF"/>
      <sheetName val="EQ Tanks"/>
      <sheetName val="Bio. Diff. Aer. Act. Sldg."/>
      <sheetName val="Bio. Mech. Aer. Act. Sldg."/>
      <sheetName val="Quiescent Unit"/>
      <sheetName val="Chemical Properties"/>
      <sheetName val="Tank 945"/>
    </sheetNames>
    <sheetDataSet>
      <sheetData sheetId="0">
        <row r="17">
          <cell r="T17">
            <v>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afer Starts"/>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BC"/>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gitive"/>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s"/>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U-CWTR"/>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8 Att"/>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X"/>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I Reporting Form"/>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s://pubchem.ncbi.nlm.nih.gov/compound/8133" TargetMode="External"/><Relationship Id="rId7" Type="http://schemas.openxmlformats.org/officeDocument/2006/relationships/comments" Target="../comments3.xml"/><Relationship Id="rId2" Type="http://schemas.openxmlformats.org/officeDocument/2006/relationships/hyperlink" Target="https://pubchem.ncbi.nlm.nih.gov/compound/6568" TargetMode="External"/><Relationship Id="rId1" Type="http://schemas.openxmlformats.org/officeDocument/2006/relationships/hyperlink" Target="https://pubchem.ncbi.nlm.nih.gov/compound/1-Methoxy-2-propanol" TargetMode="External"/><Relationship Id="rId6" Type="http://schemas.openxmlformats.org/officeDocument/2006/relationships/vmlDrawing" Target="../drawings/vmlDrawing3.vml"/><Relationship Id="rId5" Type="http://schemas.openxmlformats.org/officeDocument/2006/relationships/drawing" Target="../drawings/drawing3.xml"/><Relationship Id="rId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DB838-7CEF-AB44-8B50-B21250797418}">
  <sheetPr>
    <pageSetUpPr fitToPage="1"/>
  </sheetPr>
  <dimension ref="A2:H29"/>
  <sheetViews>
    <sheetView topLeftCell="A4" workbookViewId="0">
      <selection activeCell="L10" sqref="L10"/>
    </sheetView>
  </sheetViews>
  <sheetFormatPr defaultColWidth="10.6640625" defaultRowHeight="15.5"/>
  <cols>
    <col min="1" max="1" width="22" customWidth="1"/>
    <col min="2" max="2" width="9.6640625" customWidth="1"/>
    <col min="3" max="3" width="13.5" customWidth="1"/>
    <col min="4" max="4" width="13.33203125" customWidth="1"/>
    <col min="5" max="5" width="14.33203125" customWidth="1"/>
    <col min="6" max="6" width="12" customWidth="1"/>
    <col min="8" max="8" width="12.33203125" customWidth="1"/>
    <col min="9" max="9" width="13.6640625" customWidth="1"/>
    <col min="10" max="10" width="13.83203125" customWidth="1"/>
    <col min="11" max="11" width="9.1640625" customWidth="1"/>
    <col min="12" max="12" width="11.83203125" customWidth="1"/>
    <col min="13" max="13" width="10" customWidth="1"/>
  </cols>
  <sheetData>
    <row r="2" spans="1:8">
      <c r="C2" s="129"/>
      <c r="H2" s="71"/>
    </row>
    <row r="3" spans="1:8" ht="21">
      <c r="A3" s="4" t="s">
        <v>290</v>
      </c>
      <c r="C3" s="129"/>
      <c r="H3" s="71"/>
    </row>
    <row r="4" spans="1:8">
      <c r="C4" s="129"/>
      <c r="H4" s="71"/>
    </row>
    <row r="5" spans="1:8">
      <c r="A5" s="224" t="s">
        <v>75</v>
      </c>
      <c r="B5" s="225"/>
      <c r="C5" s="223" t="s">
        <v>268</v>
      </c>
      <c r="D5" s="223"/>
      <c r="E5" s="223"/>
      <c r="F5" s="223"/>
      <c r="G5" s="223"/>
      <c r="H5" s="222"/>
    </row>
    <row r="6" spans="1:8" ht="46.5">
      <c r="A6" s="226"/>
      <c r="B6" s="227"/>
      <c r="C6" s="178" t="s">
        <v>269</v>
      </c>
      <c r="D6" s="178" t="s">
        <v>277</v>
      </c>
      <c r="E6" s="187" t="s">
        <v>270</v>
      </c>
      <c r="F6" s="187" t="s">
        <v>271</v>
      </c>
      <c r="G6" s="187" t="s">
        <v>272</v>
      </c>
      <c r="H6" s="191" t="s">
        <v>262</v>
      </c>
    </row>
    <row r="7" spans="1:8">
      <c r="A7" s="185" t="s">
        <v>77</v>
      </c>
      <c r="B7" s="172" t="s">
        <v>261</v>
      </c>
      <c r="C7" s="54">
        <f>'1Pretreatment Heater H2'!C25</f>
        <v>0.38647058823529412</v>
      </c>
      <c r="D7" s="53">
        <f>'2Coating Oven Burner H3'!C23</f>
        <v>1.7176470588235293</v>
      </c>
      <c r="E7" s="54"/>
      <c r="F7" s="54"/>
      <c r="G7" s="54"/>
      <c r="H7" s="53">
        <f>SUM(C7:G7)</f>
        <v>2.1041176470588234</v>
      </c>
    </row>
    <row r="8" spans="1:8">
      <c r="A8" s="166" t="s">
        <v>78</v>
      </c>
      <c r="B8" s="172" t="s">
        <v>261</v>
      </c>
      <c r="C8" s="54">
        <f>'1Pretreatment Heater H2'!C26</f>
        <v>0.32463529411764702</v>
      </c>
      <c r="D8" s="53">
        <f>'2Coating Oven Burner H3'!C24</f>
        <v>1.4428235294117646</v>
      </c>
      <c r="E8" s="54"/>
      <c r="F8" s="54"/>
      <c r="G8" s="54"/>
      <c r="H8" s="53">
        <f t="shared" ref="H8:H14" si="0">SUM(C8:G8)</f>
        <v>1.7674588235294117</v>
      </c>
    </row>
    <row r="9" spans="1:8">
      <c r="A9" s="166" t="s">
        <v>79</v>
      </c>
      <c r="B9" s="172" t="s">
        <v>261</v>
      </c>
      <c r="C9" s="54">
        <f>'1Pretreatment Heater H2'!C27</f>
        <v>2.1255882352941177E-2</v>
      </c>
      <c r="D9" s="53">
        <f>'2Coating Oven Burner H3'!C25</f>
        <v>9.4470588235294112E-2</v>
      </c>
      <c r="E9" s="53">
        <f>'3Coating Oven (CO1)'!H25</f>
        <v>9.6867222399999982</v>
      </c>
      <c r="F9" s="53"/>
      <c r="G9" s="54"/>
      <c r="H9" s="53">
        <f t="shared" si="0"/>
        <v>9.8024487105882336</v>
      </c>
    </row>
    <row r="10" spans="1:8">
      <c r="A10" s="166" t="s">
        <v>80</v>
      </c>
      <c r="B10" s="172" t="s">
        <v>261</v>
      </c>
      <c r="C10" s="54">
        <f>'1Pretreatment Heater H2'!C28</f>
        <v>9.6617647058823541E-3</v>
      </c>
      <c r="D10" s="53">
        <f>'2Coating Oven Burner H3'!C26</f>
        <v>4.2941176470588233E-2</v>
      </c>
      <c r="E10" s="54"/>
      <c r="F10" s="54"/>
      <c r="G10" s="54">
        <f>'5Welding (W1)'!D17</f>
        <v>7.4880000000000068E-3</v>
      </c>
      <c r="H10" s="53">
        <f t="shared" si="0"/>
        <v>6.0090941176470597E-2</v>
      </c>
    </row>
    <row r="11" spans="1:8">
      <c r="A11" s="180" t="s">
        <v>81</v>
      </c>
      <c r="B11" s="172" t="s">
        <v>261</v>
      </c>
      <c r="C11" s="54">
        <f>'1Pretreatment Heater H2'!C29</f>
        <v>1.0048235294117648E-2</v>
      </c>
      <c r="D11" s="53">
        <f>'2Coating Oven Burner H3'!C27</f>
        <v>4.4658823529411765E-2</v>
      </c>
      <c r="E11" s="54"/>
      <c r="F11" s="54"/>
      <c r="G11" s="54"/>
      <c r="H11" s="53">
        <f t="shared" si="0"/>
        <v>5.4707058823529414E-2</v>
      </c>
    </row>
    <row r="12" spans="1:8">
      <c r="A12" s="156" t="s">
        <v>85</v>
      </c>
      <c r="B12" s="172" t="s">
        <v>261</v>
      </c>
      <c r="C12" s="53">
        <f>'1Pretreatment Heater H2'!C35</f>
        <v>461.60012038219196</v>
      </c>
      <c r="D12" s="182">
        <f>'2Coating Oven Burner H3'!C32</f>
        <v>2051.55609058752</v>
      </c>
      <c r="E12" s="48"/>
      <c r="F12" s="48"/>
      <c r="G12" s="48"/>
      <c r="H12" s="183">
        <f t="shared" si="0"/>
        <v>2513.156210969712</v>
      </c>
    </row>
    <row r="13" spans="1:8">
      <c r="A13" s="156" t="s">
        <v>267</v>
      </c>
      <c r="B13" s="175" t="s">
        <v>60</v>
      </c>
      <c r="C13" s="53">
        <f>'1Pretreatment Heater H2'!J68</f>
        <v>0.91254362823529234</v>
      </c>
      <c r="D13" s="140">
        <f>'2Coating Oven Burner H3'!I65</f>
        <v>4.0557494588235468</v>
      </c>
      <c r="E13" s="140">
        <f>'3Coating Oven (CO1)'!L34</f>
        <v>0</v>
      </c>
      <c r="F13" s="140">
        <f>'4Coating Line Baths (CL1)'!V31+'4Coating Line Baths (CL1)'!V35+'4Coating Line Baths (CL1)'!S77</f>
        <v>0.77321996326785025</v>
      </c>
      <c r="G13" s="53">
        <f>'5Welding (W1)'!H28</f>
        <v>0.92448000000000086</v>
      </c>
      <c r="H13" s="183">
        <f t="shared" si="0"/>
        <v>6.6659930503266906</v>
      </c>
    </row>
    <row r="14" spans="1:8">
      <c r="A14" s="156" t="s">
        <v>265</v>
      </c>
      <c r="B14" s="175" t="s">
        <v>60</v>
      </c>
      <c r="C14" s="53">
        <f>'1Pretreatment Heater H2'!H68</f>
        <v>25.941924804705881</v>
      </c>
      <c r="D14" s="140">
        <f>'2Coating Oven Burner H3'!G65</f>
        <v>115.29744357647061</v>
      </c>
      <c r="E14" s="140">
        <f>'3Coating Oven (CO1)'!H34</f>
        <v>20317.65873408</v>
      </c>
      <c r="F14" s="140">
        <f>'4Coating Line Baths (CL1)'!Q77</f>
        <v>3780.5123169794065</v>
      </c>
      <c r="G14" s="53">
        <f>'5Welding (W1)'!F28</f>
        <v>0.92448000000000086</v>
      </c>
      <c r="H14" s="183">
        <f t="shared" si="0"/>
        <v>24240.334899440582</v>
      </c>
    </row>
    <row r="15" spans="1:8">
      <c r="A15" t="s">
        <v>263</v>
      </c>
    </row>
    <row r="20" spans="1:8" ht="21">
      <c r="A20" s="4" t="s">
        <v>289</v>
      </c>
    </row>
    <row r="21" spans="1:8" ht="21">
      <c r="A21" s="4"/>
      <c r="H21" s="71"/>
    </row>
    <row r="22" spans="1:8">
      <c r="C22" s="220" t="s">
        <v>278</v>
      </c>
      <c r="D22" s="221"/>
      <c r="E22" s="221"/>
      <c r="F22" s="221"/>
      <c r="G22" s="222"/>
      <c r="H22" s="8"/>
    </row>
    <row r="23" spans="1:8" ht="62">
      <c r="A23" s="228" t="s">
        <v>75</v>
      </c>
      <c r="B23" s="229"/>
      <c r="C23" s="186" t="s">
        <v>275</v>
      </c>
      <c r="D23" s="173" t="s">
        <v>273</v>
      </c>
      <c r="E23" s="177" t="s">
        <v>274</v>
      </c>
      <c r="F23" s="176" t="s">
        <v>276</v>
      </c>
      <c r="G23" s="187" t="s">
        <v>264</v>
      </c>
      <c r="H23" s="9"/>
    </row>
    <row r="24" spans="1:8">
      <c r="A24" s="185" t="s">
        <v>77</v>
      </c>
      <c r="B24" s="192" t="s">
        <v>261</v>
      </c>
      <c r="C24" s="179">
        <f>'6Condensing Boiler (B1)'!C23</f>
        <v>2.7482352941176468E-2</v>
      </c>
      <c r="D24" s="54">
        <f>'7Building F Domestic HWH (B2)'!C23</f>
        <v>8.2447058823529405E-3</v>
      </c>
      <c r="E24" s="54">
        <f>'8Pretreatment Heater H1'!C23</f>
        <v>0.38647058823529412</v>
      </c>
      <c r="F24" s="54">
        <f>'9IR Heaters (H4)'!C23</f>
        <v>0.30144705882352946</v>
      </c>
      <c r="G24" s="53">
        <f>SUM(C24:F24)</f>
        <v>0.72364470588235297</v>
      </c>
      <c r="H24" s="181"/>
    </row>
    <row r="25" spans="1:8">
      <c r="A25" s="166" t="s">
        <v>78</v>
      </c>
      <c r="B25" s="174" t="s">
        <v>261</v>
      </c>
      <c r="C25" s="179">
        <f>'6Condensing Boiler (B1)'!C24</f>
        <v>2.3085176470588234E-2</v>
      </c>
      <c r="D25" s="54">
        <f>'7Building F Domestic HWH (B2)'!C24</f>
        <v>6.9255529411764707E-3</v>
      </c>
      <c r="E25" s="54">
        <f>'8Pretreatment Heater H1'!C24</f>
        <v>0.32463529411764702</v>
      </c>
      <c r="F25" s="54">
        <f>'9IR Heaters (H4)'!C24</f>
        <v>0.25321552941176473</v>
      </c>
      <c r="G25" s="53">
        <f t="shared" ref="G25:G29" si="1">SUM(C25:F25)</f>
        <v>0.60786155294117639</v>
      </c>
      <c r="H25" s="181"/>
    </row>
    <row r="26" spans="1:8">
      <c r="A26" s="166" t="s">
        <v>79</v>
      </c>
      <c r="B26" s="174" t="s">
        <v>261</v>
      </c>
      <c r="C26" s="179">
        <f>'6Condensing Boiler (B1)'!C25</f>
        <v>1.5115294117647058E-3</v>
      </c>
      <c r="D26" s="55">
        <f>'7Building F Domestic HWH (B2)'!C25</f>
        <v>4.5345882352941183E-4</v>
      </c>
      <c r="E26" s="54">
        <f>'8Pretreatment Heater H1'!C25</f>
        <v>2.1255882352941177E-2</v>
      </c>
      <c r="F26" s="54">
        <f>'9IR Heaters (H4)'!C25</f>
        <v>1.6579588235294117E-2</v>
      </c>
      <c r="G26" s="53">
        <f t="shared" si="1"/>
        <v>3.9800458823529408E-2</v>
      </c>
      <c r="H26" s="181"/>
    </row>
    <row r="27" spans="1:8">
      <c r="A27" s="180" t="s">
        <v>80</v>
      </c>
      <c r="B27" s="174" t="s">
        <v>261</v>
      </c>
      <c r="C27" s="179">
        <f>'6Condensing Boiler (B1)'!C26</f>
        <v>6.870588235294117E-4</v>
      </c>
      <c r="D27" s="55">
        <f>'7Building F Domestic HWH (B2)'!C26</f>
        <v>2.0611764705882353E-4</v>
      </c>
      <c r="E27" s="54">
        <f>'8Pretreatment Heater H1'!C26</f>
        <v>9.6617647058823541E-3</v>
      </c>
      <c r="F27" s="54">
        <f>'9IR Heaters (H4)'!C26</f>
        <v>7.5361764705882362E-3</v>
      </c>
      <c r="G27" s="53">
        <f t="shared" si="1"/>
        <v>1.8091117647058827E-2</v>
      </c>
      <c r="H27" s="181"/>
    </row>
    <row r="28" spans="1:8">
      <c r="A28" s="48" t="s">
        <v>81</v>
      </c>
      <c r="B28" s="174" t="s">
        <v>261</v>
      </c>
      <c r="C28" s="179">
        <f>'6Condensing Boiler (B1)'!C27</f>
        <v>7.1454117647058821E-4</v>
      </c>
      <c r="D28" s="55">
        <f>'7Building F Domestic HWH (B2)'!C27</f>
        <v>2.1436235294117648E-4</v>
      </c>
      <c r="E28" s="54">
        <f>'8Pretreatment Heater H1'!C27</f>
        <v>1.0048235294117648E-2</v>
      </c>
      <c r="F28" s="54">
        <f>'9IR Heaters (H4)'!C27</f>
        <v>7.8376235294117663E-3</v>
      </c>
      <c r="G28" s="53">
        <f t="shared" si="1"/>
        <v>1.8814762352941179E-2</v>
      </c>
      <c r="H28" s="181"/>
    </row>
    <row r="29" spans="1:8">
      <c r="A29" s="156" t="s">
        <v>85</v>
      </c>
      <c r="B29" s="195" t="s">
        <v>261</v>
      </c>
      <c r="C29" s="53">
        <f>'6Condensing Boiler (B1)'!C32</f>
        <v>32.824897449400318</v>
      </c>
      <c r="D29" s="53">
        <f>'7Building F Domestic HWH (B2)'!C32</f>
        <v>9.8474692348200961</v>
      </c>
      <c r="E29" s="53">
        <f>'8Pretreatment Heater H1'!C32</f>
        <v>461.60012038219196</v>
      </c>
      <c r="F29" s="53">
        <f>'9IR Heaters (H4)'!C32</f>
        <v>360.04809389810981</v>
      </c>
      <c r="G29" s="53">
        <f t="shared" si="1"/>
        <v>864.32058096452215</v>
      </c>
    </row>
  </sheetData>
  <mergeCells count="4">
    <mergeCell ref="C22:G22"/>
    <mergeCell ref="C5:H5"/>
    <mergeCell ref="A5:B6"/>
    <mergeCell ref="A23:B23"/>
  </mergeCells>
  <pageMargins left="0.7" right="0.7" top="0.75" bottom="0.75" header="0.3" footer="0.3"/>
  <pageSetup scale="77" fitToHeight="0"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5B216-535C-8A40-ABC9-E6D5567C8BD4}">
  <sheetPr>
    <tabColor rgb="FF008000"/>
  </sheetPr>
  <dimension ref="A1:L219"/>
  <sheetViews>
    <sheetView topLeftCell="A66" workbookViewId="0">
      <selection activeCell="N40" sqref="N40"/>
    </sheetView>
  </sheetViews>
  <sheetFormatPr defaultColWidth="11" defaultRowHeight="15.5"/>
  <cols>
    <col min="1" max="1" width="29.5" customWidth="1"/>
    <col min="2" max="2" width="12.6640625" customWidth="1"/>
    <col min="3" max="3" width="11.1640625" customWidth="1"/>
    <col min="4" max="5" width="9.6640625" customWidth="1"/>
    <col min="6" max="6" width="4.5" customWidth="1"/>
    <col min="7" max="11" width="9.6640625" customWidth="1"/>
    <col min="14" max="14" width="12.6640625" customWidth="1"/>
    <col min="15" max="15" width="14" customWidth="1"/>
  </cols>
  <sheetData>
    <row r="1" spans="1:12" ht="21">
      <c r="A1" s="10"/>
      <c r="B1" s="11"/>
      <c r="C1" s="12"/>
      <c r="D1" s="12"/>
      <c r="E1" s="12"/>
      <c r="F1" s="12"/>
      <c r="G1" s="13"/>
    </row>
    <row r="3" spans="1:12">
      <c r="A3" s="14"/>
    </row>
    <row r="4" spans="1:12" ht="18">
      <c r="A4" s="15" t="s">
        <v>279</v>
      </c>
    </row>
    <row r="6" spans="1:12" s="20" customFormat="1">
      <c r="A6" s="18" t="s">
        <v>280</v>
      </c>
      <c r="B6" s="17">
        <v>1</v>
      </c>
      <c r="C6" s="18"/>
      <c r="D6" s="19"/>
      <c r="G6"/>
      <c r="H6"/>
      <c r="I6"/>
      <c r="J6"/>
      <c r="K6"/>
      <c r="L6"/>
    </row>
    <row r="7" spans="1:12" s="20" customFormat="1">
      <c r="A7" s="18" t="s">
        <v>62</v>
      </c>
      <c r="B7" s="193">
        <v>0.9</v>
      </c>
      <c r="C7" s="18" t="s">
        <v>63</v>
      </c>
      <c r="D7" s="19"/>
      <c r="G7" s="66"/>
      <c r="H7"/>
      <c r="I7"/>
      <c r="J7"/>
      <c r="K7"/>
      <c r="L7"/>
    </row>
    <row r="8" spans="1:12">
      <c r="A8" s="18" t="s">
        <v>64</v>
      </c>
      <c r="B8" s="22">
        <v>1020</v>
      </c>
      <c r="C8" t="s">
        <v>65</v>
      </c>
    </row>
    <row r="9" spans="1:12">
      <c r="A9" s="18" t="s">
        <v>66</v>
      </c>
      <c r="B9" s="22">
        <v>24</v>
      </c>
    </row>
    <row r="10" spans="1:12">
      <c r="A10" s="18" t="s">
        <v>67</v>
      </c>
      <c r="B10" s="17">
        <v>8760</v>
      </c>
    </row>
    <row r="11" spans="1:12">
      <c r="A11" s="18" t="s">
        <v>129</v>
      </c>
      <c r="B11" s="23">
        <v>1</v>
      </c>
      <c r="G11" s="66"/>
      <c r="J11" s="66"/>
    </row>
    <row r="12" spans="1:12" ht="15.75" customHeight="1">
      <c r="A12" s="18" t="s">
        <v>68</v>
      </c>
      <c r="B12" s="24">
        <f>B6*B7*B10*B11</f>
        <v>7884</v>
      </c>
      <c r="C12" t="s">
        <v>69</v>
      </c>
      <c r="D12" s="25"/>
    </row>
    <row r="13" spans="1:12" ht="15.75" customHeight="1">
      <c r="A13" s="18" t="s">
        <v>68</v>
      </c>
      <c r="B13" s="24">
        <f>B12/B8</f>
        <v>7.7294117647058824</v>
      </c>
      <c r="C13" t="s">
        <v>70</v>
      </c>
      <c r="D13" s="25"/>
    </row>
    <row r="14" spans="1:12">
      <c r="A14" s="18"/>
      <c r="B14" s="22"/>
    </row>
    <row r="15" spans="1:12" ht="15.75" customHeight="1">
      <c r="A15" s="18"/>
      <c r="B15" s="24"/>
      <c r="D15" s="25"/>
    </row>
    <row r="16" spans="1:12" s="20" customFormat="1">
      <c r="A16" s="16" t="s">
        <v>128</v>
      </c>
      <c r="B16" s="17"/>
      <c r="C16" s="18"/>
      <c r="D16" s="19"/>
    </row>
    <row r="17" spans="1:4" ht="15.75" customHeight="1">
      <c r="A17" s="18" t="s">
        <v>71</v>
      </c>
      <c r="B17" s="24">
        <f>B12</f>
        <v>7884</v>
      </c>
      <c r="C17" t="s">
        <v>69</v>
      </c>
      <c r="D17" s="25"/>
    </row>
    <row r="18" spans="1:4" ht="15.75" customHeight="1">
      <c r="A18" s="18" t="s">
        <v>71</v>
      </c>
      <c r="B18" s="24">
        <f>B13</f>
        <v>7.7294117647058824</v>
      </c>
      <c r="C18" t="s">
        <v>70</v>
      </c>
      <c r="D18" s="25"/>
    </row>
    <row r="19" spans="1:4" ht="15.75" customHeight="1">
      <c r="A19" s="18" t="s">
        <v>72</v>
      </c>
      <c r="B19" s="27">
        <f>B6*B7/B8*B9</f>
        <v>2.1176470588235297E-2</v>
      </c>
      <c r="C19" t="s">
        <v>73</v>
      </c>
      <c r="D19" s="25"/>
    </row>
    <row r="20" spans="1:4" ht="15.75" customHeight="1">
      <c r="A20" s="18"/>
      <c r="B20" s="27"/>
      <c r="D20" s="25"/>
    </row>
    <row r="21" spans="1:4" ht="15.75" customHeight="1">
      <c r="A21" s="18"/>
      <c r="B21" s="27"/>
      <c r="D21" s="25"/>
    </row>
    <row r="22" spans="1:4" ht="15.75" customHeight="1">
      <c r="A22" s="18"/>
      <c r="B22" s="24"/>
      <c r="D22" s="28"/>
    </row>
    <row r="23" spans="1:4" ht="18" customHeight="1">
      <c r="A23" s="241" t="s">
        <v>74</v>
      </c>
      <c r="B23" s="241"/>
      <c r="C23" s="241"/>
    </row>
    <row r="24" spans="1:4" ht="47" customHeight="1">
      <c r="A24" s="29" t="s">
        <v>75</v>
      </c>
      <c r="B24" s="30" t="s">
        <v>76</v>
      </c>
      <c r="C24" s="29" t="s">
        <v>130</v>
      </c>
    </row>
    <row r="25" spans="1:4" ht="15.75" customHeight="1">
      <c r="A25" s="31" t="s">
        <v>77</v>
      </c>
      <c r="B25" s="31">
        <v>100</v>
      </c>
      <c r="C25" s="34">
        <f>B25*$B$18/2000</f>
        <v>0.38647058823529412</v>
      </c>
    </row>
    <row r="26" spans="1:4" ht="15.75" customHeight="1">
      <c r="A26" s="31" t="s">
        <v>78</v>
      </c>
      <c r="B26" s="31">
        <v>84</v>
      </c>
      <c r="C26" s="34">
        <f>B26*$B$18/2000</f>
        <v>0.32463529411764702</v>
      </c>
    </row>
    <row r="27" spans="1:4" ht="15.75" customHeight="1">
      <c r="A27" s="31" t="s">
        <v>79</v>
      </c>
      <c r="B27" s="31">
        <v>5.5</v>
      </c>
      <c r="C27" s="67">
        <f>B27*$B$18/2000</f>
        <v>2.1255882352941177E-2</v>
      </c>
    </row>
    <row r="28" spans="1:4" ht="15.75" customHeight="1">
      <c r="A28" s="31" t="s">
        <v>80</v>
      </c>
      <c r="B28" s="31">
        <v>2.5</v>
      </c>
      <c r="C28" s="67">
        <f>B28*$B$18/2000</f>
        <v>9.6617647058823541E-3</v>
      </c>
    </row>
    <row r="29" spans="1:4">
      <c r="A29" s="31" t="s">
        <v>81</v>
      </c>
      <c r="B29" s="31">
        <v>2.6</v>
      </c>
      <c r="C29" s="67">
        <f>B29*$B$18/2000</f>
        <v>1.0048235294117648E-2</v>
      </c>
    </row>
    <row r="30" spans="1:4">
      <c r="A30" s="35" t="s">
        <v>82</v>
      </c>
      <c r="B30" s="36"/>
      <c r="C30" s="37"/>
    </row>
    <row r="31" spans="1:4">
      <c r="A31" s="35"/>
      <c r="B31" s="71"/>
      <c r="C31" s="161"/>
    </row>
    <row r="32" spans="1:4">
      <c r="A32" s="38"/>
      <c r="B32" s="38"/>
      <c r="C32" s="39"/>
    </row>
    <row r="33" spans="1:10" ht="18" customHeight="1">
      <c r="A33" s="241" t="s">
        <v>83</v>
      </c>
      <c r="B33" s="241"/>
      <c r="C33" s="241"/>
    </row>
    <row r="34" spans="1:10" ht="49" customHeight="1">
      <c r="A34" s="29" t="s">
        <v>75</v>
      </c>
      <c r="B34" s="30" t="s">
        <v>84</v>
      </c>
      <c r="C34" s="29" t="s">
        <v>130</v>
      </c>
    </row>
    <row r="35" spans="1:10">
      <c r="A35" s="31" t="s">
        <v>85</v>
      </c>
      <c r="B35" s="31">
        <v>53.114800000000002</v>
      </c>
      <c r="C35" s="33">
        <f>(B35*B17/1000)*1.10231</f>
        <v>461.60012038219196</v>
      </c>
    </row>
    <row r="36" spans="1:10">
      <c r="A36" s="35" t="s">
        <v>86</v>
      </c>
      <c r="B36" s="36"/>
      <c r="C36" s="37"/>
    </row>
    <row r="37" spans="1:10">
      <c r="C37" s="26"/>
    </row>
    <row r="38" spans="1:10">
      <c r="C38" s="26"/>
    </row>
    <row r="39" spans="1:10" ht="18" customHeight="1">
      <c r="A39" s="242" t="s">
        <v>87</v>
      </c>
      <c r="B39" s="243"/>
      <c r="C39" s="243"/>
      <c r="D39" s="243"/>
      <c r="E39" s="244"/>
      <c r="F39" s="189"/>
      <c r="G39" s="245" t="s">
        <v>131</v>
      </c>
      <c r="H39" s="246"/>
    </row>
    <row r="40" spans="1:10" ht="52" customHeight="1">
      <c r="A40" s="40" t="s">
        <v>75</v>
      </c>
      <c r="B40" s="40" t="s">
        <v>88</v>
      </c>
      <c r="C40" s="41" t="s">
        <v>76</v>
      </c>
      <c r="D40" s="69" t="s">
        <v>132</v>
      </c>
      <c r="E40" s="69" t="s">
        <v>133</v>
      </c>
      <c r="F40" s="188"/>
      <c r="G40" s="69" t="s">
        <v>132</v>
      </c>
      <c r="H40" s="69" t="s">
        <v>133</v>
      </c>
      <c r="J40" s="43"/>
    </row>
    <row r="41" spans="1:10">
      <c r="A41" s="31" t="s">
        <v>12</v>
      </c>
      <c r="B41" s="31" t="s">
        <v>11</v>
      </c>
      <c r="C41" s="31">
        <v>8.0000000000000002E-3</v>
      </c>
      <c r="D41" s="44">
        <f t="shared" ref="D41:D67" si="0">C41*$B$19</f>
        <v>1.6941176470588237E-4</v>
      </c>
      <c r="E41" s="34">
        <f t="shared" ref="E41:E67" si="1">C41*$B$18</f>
        <v>6.1835294117647058E-2</v>
      </c>
      <c r="F41" s="34"/>
      <c r="G41" s="45">
        <f t="shared" ref="G41:H67" si="2">D41/$B$6</f>
        <v>1.6941176470588237E-4</v>
      </c>
      <c r="H41" s="45">
        <f t="shared" si="2"/>
        <v>6.1835294117647058E-2</v>
      </c>
      <c r="J41" t="s">
        <v>266</v>
      </c>
    </row>
    <row r="42" spans="1:10">
      <c r="A42" s="31" t="s">
        <v>29</v>
      </c>
      <c r="B42" s="31" t="s">
        <v>28</v>
      </c>
      <c r="C42" s="31">
        <v>1.7000000000000001E-2</v>
      </c>
      <c r="D42" s="44">
        <f t="shared" si="0"/>
        <v>3.6000000000000008E-4</v>
      </c>
      <c r="E42" s="34">
        <f t="shared" si="1"/>
        <v>0.13140000000000002</v>
      </c>
      <c r="F42" s="34"/>
      <c r="G42" s="45">
        <f t="shared" si="2"/>
        <v>3.6000000000000008E-4</v>
      </c>
      <c r="H42" s="45">
        <f t="shared" si="2"/>
        <v>0.13140000000000002</v>
      </c>
      <c r="J42" t="s">
        <v>266</v>
      </c>
    </row>
    <row r="43" spans="1:10" ht="31">
      <c r="A43" s="111" t="s">
        <v>47</v>
      </c>
      <c r="B43" s="31">
        <v>401</v>
      </c>
      <c r="C43" s="31">
        <v>1E-4</v>
      </c>
      <c r="D43" s="44">
        <f t="shared" si="0"/>
        <v>2.1176470588235296E-6</v>
      </c>
      <c r="E43" s="34">
        <f t="shared" si="1"/>
        <v>7.7294117647058833E-4</v>
      </c>
      <c r="F43" s="34"/>
      <c r="G43" s="45">
        <f t="shared" si="2"/>
        <v>2.1176470588235296E-6</v>
      </c>
      <c r="H43" s="45">
        <f t="shared" si="2"/>
        <v>7.7294117647058833E-4</v>
      </c>
      <c r="J43" t="s">
        <v>266</v>
      </c>
    </row>
    <row r="44" spans="1:10">
      <c r="A44" s="31" t="s">
        <v>14</v>
      </c>
      <c r="B44" s="31" t="s">
        <v>13</v>
      </c>
      <c r="C44" s="31">
        <v>1.1999999999999999E-6</v>
      </c>
      <c r="D44" s="44">
        <f t="shared" si="0"/>
        <v>2.5411764705882355E-8</v>
      </c>
      <c r="E44" s="34">
        <f t="shared" si="1"/>
        <v>9.2752941176470583E-6</v>
      </c>
      <c r="F44" s="34"/>
      <c r="G44" s="45">
        <f t="shared" si="2"/>
        <v>2.5411764705882355E-8</v>
      </c>
      <c r="H44" s="45">
        <f t="shared" si="2"/>
        <v>9.2752941176470583E-6</v>
      </c>
      <c r="J44" t="s">
        <v>266</v>
      </c>
    </row>
    <row r="45" spans="1:10">
      <c r="A45" s="31" t="s">
        <v>42</v>
      </c>
      <c r="B45" s="31" t="s">
        <v>41</v>
      </c>
      <c r="C45" s="31">
        <v>2.9999999999999997E-4</v>
      </c>
      <c r="D45" s="44">
        <f t="shared" si="0"/>
        <v>6.3529411764705887E-6</v>
      </c>
      <c r="E45" s="34">
        <f t="shared" si="1"/>
        <v>2.3188235294117647E-3</v>
      </c>
      <c r="F45" s="34"/>
      <c r="G45" s="45">
        <f t="shared" si="2"/>
        <v>6.3529411764705887E-6</v>
      </c>
      <c r="H45" s="45">
        <f t="shared" si="2"/>
        <v>2.3188235294117647E-3</v>
      </c>
      <c r="J45" t="s">
        <v>266</v>
      </c>
    </row>
    <row r="46" spans="1:10">
      <c r="A46" s="31" t="s">
        <v>2</v>
      </c>
      <c r="B46" s="31" t="s">
        <v>1</v>
      </c>
      <c r="C46" s="31">
        <v>4.3E-3</v>
      </c>
      <c r="D46" s="44">
        <f t="shared" si="0"/>
        <v>9.1058823529411773E-5</v>
      </c>
      <c r="E46" s="34">
        <f t="shared" si="1"/>
        <v>3.3236470588235298E-2</v>
      </c>
      <c r="F46" s="34"/>
      <c r="G46" s="45">
        <f t="shared" si="2"/>
        <v>9.1058823529411773E-5</v>
      </c>
      <c r="H46" s="45">
        <f t="shared" si="2"/>
        <v>3.3236470588235298E-2</v>
      </c>
      <c r="J46" t="s">
        <v>266</v>
      </c>
    </row>
    <row r="47" spans="1:10">
      <c r="A47" s="31" t="s">
        <v>4</v>
      </c>
      <c r="B47" s="31" t="s">
        <v>3</v>
      </c>
      <c r="C47" s="31">
        <v>2.7000000000000001E-3</v>
      </c>
      <c r="D47" s="44">
        <f t="shared" si="0"/>
        <v>5.7176470588235307E-5</v>
      </c>
      <c r="E47" s="34">
        <f t="shared" si="1"/>
        <v>2.0869411764705883E-2</v>
      </c>
      <c r="F47" s="34"/>
      <c r="G47" s="45">
        <f t="shared" si="2"/>
        <v>5.7176470588235307E-5</v>
      </c>
      <c r="H47" s="45">
        <f t="shared" si="2"/>
        <v>2.0869411764705883E-2</v>
      </c>
      <c r="J47" t="s">
        <v>266</v>
      </c>
    </row>
    <row r="48" spans="1:10">
      <c r="A48" s="31" t="s">
        <v>6</v>
      </c>
      <c r="B48" s="31" t="s">
        <v>5</v>
      </c>
      <c r="C48" s="31">
        <v>3.2</v>
      </c>
      <c r="D48" s="44">
        <f t="shared" si="0"/>
        <v>6.7764705882352949E-2</v>
      </c>
      <c r="E48" s="34">
        <f t="shared" si="1"/>
        <v>24.734117647058824</v>
      </c>
      <c r="F48" s="34"/>
      <c r="G48" s="45">
        <f t="shared" si="2"/>
        <v>6.7764705882352949E-2</v>
      </c>
      <c r="H48" s="45">
        <f t="shared" si="2"/>
        <v>24.734117647058824</v>
      </c>
    </row>
    <row r="49" spans="1:10">
      <c r="A49" s="31" t="s">
        <v>8</v>
      </c>
      <c r="B49" s="31" t="s">
        <v>7</v>
      </c>
      <c r="C49" s="31">
        <v>2.0000000000000001E-4</v>
      </c>
      <c r="D49" s="44">
        <f t="shared" si="0"/>
        <v>4.2352941176470591E-6</v>
      </c>
      <c r="E49" s="34">
        <f t="shared" si="1"/>
        <v>1.5458823529411767E-3</v>
      </c>
      <c r="F49" s="34"/>
      <c r="G49" s="45">
        <f t="shared" si="2"/>
        <v>4.2352941176470591E-6</v>
      </c>
      <c r="H49" s="45">
        <f t="shared" si="2"/>
        <v>1.5458823529411767E-3</v>
      </c>
      <c r="J49" t="s">
        <v>266</v>
      </c>
    </row>
    <row r="50" spans="1:10">
      <c r="A50" s="31" t="s">
        <v>10</v>
      </c>
      <c r="B50" s="31" t="s">
        <v>9</v>
      </c>
      <c r="C50" s="31">
        <v>4.4000000000000003E-3</v>
      </c>
      <c r="D50" s="44">
        <f t="shared" si="0"/>
        <v>9.3176470588235308E-5</v>
      </c>
      <c r="E50" s="34">
        <f t="shared" si="1"/>
        <v>3.4009411764705885E-2</v>
      </c>
      <c r="F50" s="34"/>
      <c r="G50" s="45">
        <f t="shared" si="2"/>
        <v>9.3176470588235308E-5</v>
      </c>
      <c r="H50" s="45">
        <f t="shared" si="2"/>
        <v>3.4009411764705885E-2</v>
      </c>
    </row>
    <row r="51" spans="1:10">
      <c r="A51" s="31" t="s">
        <v>16</v>
      </c>
      <c r="B51" s="31" t="s">
        <v>15</v>
      </c>
      <c r="C51" s="31">
        <v>1.2E-5</v>
      </c>
      <c r="D51" s="44">
        <f t="shared" si="0"/>
        <v>2.5411764705882357E-7</v>
      </c>
      <c r="E51" s="34">
        <f t="shared" si="1"/>
        <v>9.275294117647059E-5</v>
      </c>
      <c r="F51" s="34"/>
      <c r="G51" s="45">
        <f t="shared" si="2"/>
        <v>2.5411764705882357E-7</v>
      </c>
      <c r="H51" s="45">
        <f t="shared" si="2"/>
        <v>9.275294117647059E-5</v>
      </c>
      <c r="J51" t="s">
        <v>266</v>
      </c>
    </row>
    <row r="52" spans="1:10">
      <c r="A52" s="31" t="s">
        <v>18</v>
      </c>
      <c r="B52" s="46" t="s">
        <v>17</v>
      </c>
      <c r="C52" s="31">
        <v>1.1000000000000001E-3</v>
      </c>
      <c r="D52" s="44">
        <f t="shared" si="0"/>
        <v>2.3294117647058827E-5</v>
      </c>
      <c r="E52" s="34">
        <f t="shared" si="1"/>
        <v>8.5023529411764713E-3</v>
      </c>
      <c r="F52" s="34"/>
      <c r="G52" s="45">
        <f t="shared" si="2"/>
        <v>2.3294117647058827E-5</v>
      </c>
      <c r="H52" s="45">
        <f t="shared" si="2"/>
        <v>8.5023529411764713E-3</v>
      </c>
      <c r="J52" t="s">
        <v>266</v>
      </c>
    </row>
    <row r="53" spans="1:10" ht="31">
      <c r="A53" s="111" t="s">
        <v>20</v>
      </c>
      <c r="B53" s="31" t="s">
        <v>19</v>
      </c>
      <c r="C53" s="31">
        <v>1.4E-3</v>
      </c>
      <c r="D53" s="44">
        <f t="shared" si="0"/>
        <v>2.9647058823529414E-5</v>
      </c>
      <c r="E53" s="34">
        <f t="shared" si="1"/>
        <v>1.0821176470588235E-2</v>
      </c>
      <c r="F53" s="34"/>
      <c r="G53" s="45">
        <f t="shared" si="2"/>
        <v>2.9647058823529414E-5</v>
      </c>
      <c r="H53" s="45">
        <f t="shared" si="2"/>
        <v>1.0821176470588235E-2</v>
      </c>
      <c r="J53" t="s">
        <v>266</v>
      </c>
    </row>
    <row r="54" spans="1:10">
      <c r="A54" s="31" t="s">
        <v>22</v>
      </c>
      <c r="B54" s="31" t="s">
        <v>21</v>
      </c>
      <c r="C54" s="31">
        <v>8.3999999999999995E-5</v>
      </c>
      <c r="D54" s="44">
        <f t="shared" si="0"/>
        <v>1.7788235294117649E-6</v>
      </c>
      <c r="E54" s="34">
        <f t="shared" si="1"/>
        <v>6.492705882352941E-4</v>
      </c>
      <c r="F54" s="34"/>
      <c r="G54" s="45">
        <f t="shared" si="2"/>
        <v>1.7788235294117649E-6</v>
      </c>
      <c r="H54" s="45">
        <f t="shared" si="2"/>
        <v>6.492705882352941E-4</v>
      </c>
      <c r="J54" t="s">
        <v>266</v>
      </c>
    </row>
    <row r="55" spans="1:10">
      <c r="A55" s="31" t="s">
        <v>24</v>
      </c>
      <c r="B55" s="31" t="s">
        <v>23</v>
      </c>
      <c r="C55" s="31">
        <v>8.4999999999999995E-4</v>
      </c>
      <c r="D55" s="44">
        <f t="shared" si="0"/>
        <v>1.8E-5</v>
      </c>
      <c r="E55" s="34">
        <f t="shared" si="1"/>
        <v>6.5699999999999995E-3</v>
      </c>
      <c r="F55" s="34"/>
      <c r="G55" s="45">
        <f t="shared" si="2"/>
        <v>1.8E-5</v>
      </c>
      <c r="H55" s="45">
        <f t="shared" si="2"/>
        <v>6.5699999999999995E-3</v>
      </c>
    </row>
    <row r="56" spans="1:10">
      <c r="A56" s="31" t="s">
        <v>26</v>
      </c>
      <c r="B56" s="31" t="s">
        <v>25</v>
      </c>
      <c r="C56" s="31">
        <v>9.4999999999999998E-3</v>
      </c>
      <c r="D56" s="44">
        <f t="shared" si="0"/>
        <v>2.011764705882353E-4</v>
      </c>
      <c r="E56" s="34">
        <f t="shared" si="1"/>
        <v>7.3429411764705882E-2</v>
      </c>
      <c r="F56" s="34"/>
      <c r="G56" s="45">
        <f t="shared" si="2"/>
        <v>2.011764705882353E-4</v>
      </c>
      <c r="H56" s="45">
        <f t="shared" si="2"/>
        <v>7.3429411764705882E-2</v>
      </c>
      <c r="J56" t="s">
        <v>266</v>
      </c>
    </row>
    <row r="57" spans="1:10">
      <c r="A57" s="31" t="s">
        <v>31</v>
      </c>
      <c r="B57" s="31" t="s">
        <v>30</v>
      </c>
      <c r="C57" s="31">
        <v>6.3E-3</v>
      </c>
      <c r="D57" s="44">
        <f t="shared" si="0"/>
        <v>1.3341176470588236E-4</v>
      </c>
      <c r="E57" s="34">
        <f t="shared" si="1"/>
        <v>4.8695294117647059E-2</v>
      </c>
      <c r="F57" s="34"/>
      <c r="G57" s="45">
        <f t="shared" si="2"/>
        <v>1.3341176470588236E-4</v>
      </c>
      <c r="H57" s="45">
        <f t="shared" si="2"/>
        <v>4.8695294117647059E-2</v>
      </c>
      <c r="J57" t="s">
        <v>266</v>
      </c>
    </row>
    <row r="58" spans="1:10">
      <c r="A58" s="31" t="s">
        <v>34</v>
      </c>
      <c r="B58" s="31" t="s">
        <v>33</v>
      </c>
      <c r="C58" s="31">
        <v>5.0000000000000001E-4</v>
      </c>
      <c r="D58" s="44">
        <f t="shared" si="0"/>
        <v>1.0588235294117648E-5</v>
      </c>
      <c r="E58" s="34">
        <f t="shared" si="1"/>
        <v>3.8647058823529411E-3</v>
      </c>
      <c r="F58" s="34"/>
      <c r="G58" s="45">
        <f t="shared" si="2"/>
        <v>1.0588235294117648E-5</v>
      </c>
      <c r="H58" s="45">
        <f t="shared" si="2"/>
        <v>3.8647058823529411E-3</v>
      </c>
      <c r="J58" t="s">
        <v>266</v>
      </c>
    </row>
    <row r="59" spans="1:10">
      <c r="A59" s="31" t="s">
        <v>36</v>
      </c>
      <c r="B59" s="31" t="s">
        <v>35</v>
      </c>
      <c r="C59" s="31">
        <v>3.8000000000000002E-4</v>
      </c>
      <c r="D59" s="44">
        <f t="shared" si="0"/>
        <v>8.0470588235294123E-6</v>
      </c>
      <c r="E59" s="34">
        <f t="shared" si="1"/>
        <v>2.9371764705882356E-3</v>
      </c>
      <c r="F59" s="34"/>
      <c r="G59" s="45">
        <f t="shared" si="2"/>
        <v>8.0470588235294123E-6</v>
      </c>
      <c r="H59" s="45">
        <f t="shared" si="2"/>
        <v>2.9371764705882356E-3</v>
      </c>
      <c r="J59" t="s">
        <v>266</v>
      </c>
    </row>
    <row r="60" spans="1:10">
      <c r="A60" s="31" t="s">
        <v>38</v>
      </c>
      <c r="B60" s="31" t="s">
        <v>37</v>
      </c>
      <c r="C60" s="31">
        <v>2.5999999999999998E-4</v>
      </c>
      <c r="D60" s="44">
        <f t="shared" si="0"/>
        <v>5.5058823529411769E-6</v>
      </c>
      <c r="E60" s="34">
        <f t="shared" si="1"/>
        <v>2.0096470588235292E-3</v>
      </c>
      <c r="F60" s="34"/>
      <c r="G60" s="45">
        <f t="shared" si="2"/>
        <v>5.5058823529411769E-6</v>
      </c>
      <c r="H60" s="45">
        <f t="shared" si="2"/>
        <v>2.0096470588235292E-3</v>
      </c>
      <c r="J60" t="s">
        <v>266</v>
      </c>
    </row>
    <row r="61" spans="1:10">
      <c r="A61" s="31" t="s">
        <v>40</v>
      </c>
      <c r="B61" s="31" t="s">
        <v>39</v>
      </c>
      <c r="C61" s="31">
        <v>1.65E-3</v>
      </c>
      <c r="D61" s="44">
        <f t="shared" si="0"/>
        <v>3.494117647058824E-5</v>
      </c>
      <c r="E61" s="34">
        <f t="shared" si="1"/>
        <v>1.2753529411764705E-2</v>
      </c>
      <c r="F61" s="34"/>
      <c r="G61" s="45">
        <f t="shared" si="2"/>
        <v>3.494117647058824E-5</v>
      </c>
      <c r="H61" s="45">
        <f t="shared" si="2"/>
        <v>1.2753529411764705E-2</v>
      </c>
    </row>
    <row r="62" spans="1:10">
      <c r="A62" s="31" t="s">
        <v>44</v>
      </c>
      <c r="B62" s="31">
        <v>365</v>
      </c>
      <c r="C62" s="31">
        <v>2.0999999999999999E-3</v>
      </c>
      <c r="D62" s="44">
        <f t="shared" si="0"/>
        <v>4.4470588235294119E-5</v>
      </c>
      <c r="E62" s="34">
        <f t="shared" si="1"/>
        <v>1.6231764705882352E-2</v>
      </c>
      <c r="F62" s="34"/>
      <c r="G62" s="45">
        <f t="shared" si="2"/>
        <v>4.4470588235294119E-5</v>
      </c>
      <c r="H62" s="45">
        <f t="shared" si="2"/>
        <v>1.6231764705882352E-2</v>
      </c>
      <c r="J62" t="s">
        <v>266</v>
      </c>
    </row>
    <row r="63" spans="1:10">
      <c r="A63" s="31" t="s">
        <v>51</v>
      </c>
      <c r="B63" s="31" t="s">
        <v>50</v>
      </c>
      <c r="C63" s="31">
        <v>2.4000000000000001E-5</v>
      </c>
      <c r="D63" s="44">
        <f t="shared" si="0"/>
        <v>5.0823529411764714E-7</v>
      </c>
      <c r="E63" s="34">
        <f t="shared" si="1"/>
        <v>1.8550588235294118E-4</v>
      </c>
      <c r="F63" s="34"/>
      <c r="G63" s="45">
        <f t="shared" si="2"/>
        <v>5.0823529411764714E-7</v>
      </c>
      <c r="H63" s="45">
        <f t="shared" si="2"/>
        <v>1.8550588235294118E-4</v>
      </c>
      <c r="J63" t="s">
        <v>266</v>
      </c>
    </row>
    <row r="64" spans="1:10">
      <c r="A64" s="31" t="s">
        <v>53</v>
      </c>
      <c r="B64" s="31" t="s">
        <v>52</v>
      </c>
      <c r="C64" s="31">
        <v>3.6600000000000001E-2</v>
      </c>
      <c r="D64" s="44">
        <f t="shared" si="0"/>
        <v>7.7505882352941189E-4</v>
      </c>
      <c r="E64" s="34">
        <f t="shared" si="1"/>
        <v>0.2828964705882353</v>
      </c>
      <c r="F64" s="34"/>
      <c r="G64" s="45">
        <f t="shared" si="2"/>
        <v>7.7505882352941189E-4</v>
      </c>
      <c r="H64" s="45">
        <f t="shared" si="2"/>
        <v>0.2828964705882353</v>
      </c>
      <c r="J64" t="s">
        <v>266</v>
      </c>
    </row>
    <row r="65" spans="1:11">
      <c r="A65" s="31" t="s">
        <v>55</v>
      </c>
      <c r="B65" s="31" t="s">
        <v>54</v>
      </c>
      <c r="C65" s="31">
        <v>2.3E-3</v>
      </c>
      <c r="D65" s="44">
        <f t="shared" si="0"/>
        <v>4.8705882352941182E-5</v>
      </c>
      <c r="E65" s="34">
        <f t="shared" si="1"/>
        <v>1.777764705882353E-2</v>
      </c>
      <c r="F65" s="34"/>
      <c r="G65" s="45">
        <f t="shared" si="2"/>
        <v>4.8705882352941182E-5</v>
      </c>
      <c r="H65" s="45">
        <f t="shared" si="2"/>
        <v>1.777764705882353E-2</v>
      </c>
    </row>
    <row r="66" spans="1:11" ht="31">
      <c r="A66" s="111" t="s">
        <v>57</v>
      </c>
      <c r="B66" s="31" t="s">
        <v>56</v>
      </c>
      <c r="C66" s="31">
        <v>2.7199999999999998E-2</v>
      </c>
      <c r="D66" s="44">
        <f t="shared" si="0"/>
        <v>5.7600000000000001E-4</v>
      </c>
      <c r="E66" s="34">
        <f t="shared" si="1"/>
        <v>0.21023999999999998</v>
      </c>
      <c r="F66" s="34"/>
      <c r="G66" s="45">
        <f t="shared" si="2"/>
        <v>5.7600000000000001E-4</v>
      </c>
      <c r="H66" s="45">
        <f t="shared" si="2"/>
        <v>0.21023999999999998</v>
      </c>
      <c r="J66" t="s">
        <v>266</v>
      </c>
    </row>
    <row r="67" spans="1:11">
      <c r="A67" s="31" t="s">
        <v>59</v>
      </c>
      <c r="B67" s="31" t="s">
        <v>58</v>
      </c>
      <c r="C67" s="31">
        <v>2.9000000000000001E-2</v>
      </c>
      <c r="D67" s="44">
        <f t="shared" si="0"/>
        <v>6.1411764705882358E-4</v>
      </c>
      <c r="E67" s="34">
        <f t="shared" si="1"/>
        <v>0.22415294117647061</v>
      </c>
      <c r="F67" s="34"/>
      <c r="G67" s="45">
        <f t="shared" si="2"/>
        <v>6.1411764705882358E-4</v>
      </c>
      <c r="H67" s="45">
        <f t="shared" si="2"/>
        <v>0.22415294117647061</v>
      </c>
    </row>
    <row r="68" spans="1:11">
      <c r="A68" s="31" t="s">
        <v>89</v>
      </c>
      <c r="B68" s="31"/>
      <c r="C68" s="31"/>
      <c r="D68" s="47">
        <f>SUM(D41:D67)</f>
        <v>7.1073766588235276E-2</v>
      </c>
      <c r="E68" s="47">
        <f>SUM(E41:E67)</f>
        <v>25.941924804705881</v>
      </c>
      <c r="F68" s="47"/>
      <c r="G68" s="47">
        <f>SUM(G41:G67)</f>
        <v>7.1073766588235276E-2</v>
      </c>
      <c r="H68" s="47">
        <f>SUM(H41:H67)</f>
        <v>25.941924804705881</v>
      </c>
      <c r="J68" s="53">
        <f>H68-H48-H50-H55-H61-H65-H67</f>
        <v>0.91254362823529234</v>
      </c>
      <c r="K68" s="48" t="s">
        <v>112</v>
      </c>
    </row>
    <row r="142" spans="1:7">
      <c r="A142" s="230" t="s">
        <v>90</v>
      </c>
      <c r="B142" s="231"/>
      <c r="C142" s="231"/>
      <c r="D142" s="231"/>
      <c r="E142" s="232"/>
      <c r="F142" s="190"/>
    </row>
    <row r="143" spans="1:7">
      <c r="A143" s="48" t="s">
        <v>91</v>
      </c>
      <c r="B143" s="49">
        <v>1.04E-5</v>
      </c>
      <c r="C143" s="68" t="s">
        <v>92</v>
      </c>
      <c r="D143" s="51" t="s">
        <v>93</v>
      </c>
      <c r="E143" s="52" t="e">
        <f>B143*#REF!</f>
        <v>#REF!</v>
      </c>
      <c r="F143" s="196"/>
      <c r="G143" t="s">
        <v>94</v>
      </c>
    </row>
    <row r="144" spans="1:7">
      <c r="A144" s="48" t="s">
        <v>95</v>
      </c>
      <c r="B144" s="49">
        <v>1.0206E-2</v>
      </c>
      <c r="C144" s="68" t="s">
        <v>92</v>
      </c>
      <c r="D144" s="51" t="s">
        <v>93</v>
      </c>
      <c r="E144" s="52" t="e">
        <f>B144*#REF!</f>
        <v>#REF!</v>
      </c>
      <c r="F144" s="196"/>
      <c r="G144" t="s">
        <v>94</v>
      </c>
    </row>
    <row r="145" spans="1:9">
      <c r="A145" s="48" t="s">
        <v>96</v>
      </c>
      <c r="B145" s="49">
        <v>2.4700000000000001E-5</v>
      </c>
      <c r="C145" s="68" t="s">
        <v>92</v>
      </c>
      <c r="D145" s="51" t="s">
        <v>93</v>
      </c>
      <c r="E145" s="53" t="e">
        <f>B145*#REF!</f>
        <v>#REF!</v>
      </c>
      <c r="F145" s="197"/>
      <c r="G145" t="s">
        <v>94</v>
      </c>
      <c r="H145" s="24" t="e">
        <f>SUM(E143:E145)</f>
        <v>#REF!</v>
      </c>
      <c r="I145" t="s">
        <v>94</v>
      </c>
    </row>
    <row r="146" spans="1:9">
      <c r="A146" s="230" t="s">
        <v>97</v>
      </c>
      <c r="B146" s="231"/>
      <c r="C146" s="231"/>
      <c r="D146" s="231"/>
      <c r="E146" s="232"/>
      <c r="F146" s="190"/>
      <c r="H146" t="e">
        <f>H145*1.10231</f>
        <v>#REF!</v>
      </c>
      <c r="I146" t="s">
        <v>98</v>
      </c>
    </row>
    <row r="147" spans="1:9">
      <c r="A147" s="48" t="s">
        <v>12</v>
      </c>
      <c r="B147" s="49">
        <v>7.76E-4</v>
      </c>
      <c r="C147" s="68" t="s">
        <v>99</v>
      </c>
      <c r="D147" s="51" t="s">
        <v>100</v>
      </c>
      <c r="E147" s="54" t="e">
        <f>B147*#REF!*#REF!/1000000/2000</f>
        <v>#REF!</v>
      </c>
      <c r="F147" s="181"/>
    </row>
    <row r="148" spans="1:9">
      <c r="A148" s="48" t="s">
        <v>53</v>
      </c>
      <c r="B148" s="49">
        <v>2.81E-4</v>
      </c>
      <c r="C148" s="68" t="s">
        <v>99</v>
      </c>
      <c r="D148" s="51" t="s">
        <v>100</v>
      </c>
      <c r="E148" s="55" t="e">
        <f>B148*#REF!*#REF!/1000000/2000</f>
        <v>#REF!</v>
      </c>
      <c r="F148" s="123"/>
      <c r="H148">
        <v>2490</v>
      </c>
    </row>
    <row r="149" spans="1:9">
      <c r="A149" s="48" t="s">
        <v>101</v>
      </c>
      <c r="B149" s="49">
        <v>1.93E-4</v>
      </c>
      <c r="C149" s="68" t="s">
        <v>99</v>
      </c>
      <c r="D149" s="51" t="s">
        <v>100</v>
      </c>
      <c r="E149" s="55" t="e">
        <f>B149*#REF!*#REF!/1000000/2000</f>
        <v>#REF!</v>
      </c>
      <c r="F149" s="123"/>
      <c r="H149">
        <f>H148*1.10231</f>
        <v>2744.7518999999998</v>
      </c>
      <c r="I149" t="s">
        <v>98</v>
      </c>
    </row>
    <row r="150" spans="1:9">
      <c r="A150" s="48" t="s">
        <v>29</v>
      </c>
      <c r="B150" s="49">
        <v>7.8899999999999993E-5</v>
      </c>
      <c r="C150" s="68" t="s">
        <v>99</v>
      </c>
      <c r="D150" s="51" t="s">
        <v>100</v>
      </c>
      <c r="E150" s="55" t="e">
        <f>B150*#REF!*#REF!/1000000/2000</f>
        <v>#REF!</v>
      </c>
      <c r="F150" s="123"/>
    </row>
    <row r="151" spans="1:9">
      <c r="A151" s="48" t="s">
        <v>2</v>
      </c>
      <c r="B151" s="49">
        <v>2.5199999999999999E-5</v>
      </c>
      <c r="C151" s="68" t="s">
        <v>99</v>
      </c>
      <c r="D151" s="51" t="s">
        <v>100</v>
      </c>
      <c r="E151" s="56" t="e">
        <f>B151*#REF!*#REF!/1000000/2000</f>
        <v>#REF!</v>
      </c>
      <c r="F151" s="124"/>
    </row>
    <row r="152" spans="1:9">
      <c r="A152" s="48" t="s">
        <v>4</v>
      </c>
      <c r="B152" s="49">
        <v>7.8800000000000008E-6</v>
      </c>
      <c r="C152" s="68" t="s">
        <v>99</v>
      </c>
      <c r="D152" s="51" t="s">
        <v>100</v>
      </c>
      <c r="E152" s="56" t="e">
        <f>B152*#REF!*#REF!/1000000/2000</f>
        <v>#REF!</v>
      </c>
      <c r="F152" s="124"/>
    </row>
    <row r="153" spans="1:9">
      <c r="A153" s="48" t="s">
        <v>102</v>
      </c>
      <c r="B153" s="49">
        <v>1.2999999999999999E-4</v>
      </c>
      <c r="C153" s="68" t="s">
        <v>99</v>
      </c>
      <c r="D153" s="51" t="s">
        <v>100</v>
      </c>
      <c r="E153" s="55" t="e">
        <f>B153*#REF!*#REF!/1000000/2000</f>
        <v>#REF!</v>
      </c>
      <c r="F153" s="123"/>
    </row>
    <row r="154" spans="1:9">
      <c r="A154" s="48" t="s">
        <v>103</v>
      </c>
      <c r="B154" s="49">
        <v>2.12E-4</v>
      </c>
      <c r="C154" s="68" t="s">
        <v>99</v>
      </c>
      <c r="D154" s="51" t="s">
        <v>100</v>
      </c>
      <c r="E154" s="55" t="e">
        <f>B154*#REF!*#REF!/1000000/2000</f>
        <v>#REF!</v>
      </c>
      <c r="F154" s="123"/>
    </row>
    <row r="155" spans="1:9">
      <c r="A155" s="48" t="s">
        <v>104</v>
      </c>
      <c r="B155" s="49"/>
      <c r="C155" s="68"/>
      <c r="D155" s="48"/>
      <c r="E155" s="54" t="e">
        <f>SUM(E147:E154)</f>
        <v>#REF!</v>
      </c>
      <c r="F155" s="181"/>
    </row>
    <row r="156" spans="1:9">
      <c r="B156" s="57"/>
      <c r="C156" s="3"/>
      <c r="E156" s="24"/>
      <c r="F156" s="24"/>
    </row>
    <row r="157" spans="1:9">
      <c r="A157" t="s">
        <v>105</v>
      </c>
      <c r="B157" s="57"/>
      <c r="C157" s="3"/>
      <c r="E157" s="24"/>
      <c r="F157" s="24"/>
    </row>
    <row r="158" spans="1:9">
      <c r="A158" t="s">
        <v>106</v>
      </c>
      <c r="B158" s="57"/>
      <c r="C158" s="3"/>
      <c r="E158" s="24"/>
      <c r="F158" s="24"/>
    </row>
    <row r="159" spans="1:9">
      <c r="A159" t="s">
        <v>107</v>
      </c>
      <c r="B159" s="57"/>
      <c r="C159" s="3"/>
      <c r="E159" s="24"/>
      <c r="F159" s="24"/>
    </row>
    <row r="160" spans="1:9">
      <c r="A160" t="s">
        <v>108</v>
      </c>
      <c r="B160" s="57"/>
      <c r="C160" s="3"/>
      <c r="E160" s="24"/>
      <c r="F160" s="24"/>
    </row>
    <row r="161" spans="1:8">
      <c r="A161" t="s">
        <v>109</v>
      </c>
      <c r="B161" s="57"/>
      <c r="C161" s="3"/>
      <c r="E161" s="24"/>
      <c r="F161" s="24"/>
    </row>
    <row r="163" spans="1:8">
      <c r="A163" s="58" t="s">
        <v>110</v>
      </c>
    </row>
    <row r="165" spans="1:8">
      <c r="A165" s="68" t="s">
        <v>77</v>
      </c>
      <c r="B165" s="68" t="s">
        <v>78</v>
      </c>
      <c r="C165" s="68" t="s">
        <v>79</v>
      </c>
      <c r="D165" s="68" t="s">
        <v>80</v>
      </c>
      <c r="E165" s="68" t="s">
        <v>81</v>
      </c>
      <c r="F165" s="59"/>
      <c r="G165" s="59" t="s">
        <v>111</v>
      </c>
      <c r="H165" s="68" t="s">
        <v>112</v>
      </c>
    </row>
    <row r="166" spans="1:8">
      <c r="A166" s="228" t="s">
        <v>61</v>
      </c>
      <c r="B166" s="233"/>
      <c r="C166" s="233"/>
      <c r="D166" s="233"/>
      <c r="E166" s="233"/>
      <c r="F166" s="233"/>
      <c r="G166" s="233"/>
      <c r="H166" s="229"/>
    </row>
    <row r="167" spans="1:8">
      <c r="A167" s="60" t="e">
        <f>#REF!</f>
        <v>#REF!</v>
      </c>
      <c r="B167" s="60" t="e">
        <f>#REF!</f>
        <v>#REF!</v>
      </c>
      <c r="C167" s="60" t="e">
        <f>#REF!</f>
        <v>#REF!</v>
      </c>
      <c r="D167" s="61" t="e">
        <f>#REF!</f>
        <v>#REF!</v>
      </c>
      <c r="E167" s="61" t="e">
        <f>#REF!</f>
        <v>#REF!</v>
      </c>
      <c r="F167" s="61"/>
      <c r="G167" s="60" t="e">
        <f>SUM(E143:E145)</f>
        <v>#REF!</v>
      </c>
      <c r="H167" s="54" t="e">
        <f>E155</f>
        <v>#REF!</v>
      </c>
    </row>
    <row r="171" spans="1:8" ht="23.5">
      <c r="A171" s="62"/>
      <c r="C171" s="12"/>
      <c r="D171" s="12"/>
      <c r="E171" s="12"/>
      <c r="F171" s="12"/>
      <c r="G171" s="13"/>
    </row>
    <row r="172" spans="1:8" ht="23.5">
      <c r="A172" s="62"/>
      <c r="C172" s="12"/>
      <c r="D172" s="12"/>
      <c r="E172" s="12"/>
      <c r="F172" s="12"/>
      <c r="G172" s="13"/>
    </row>
    <row r="173" spans="1:8" ht="23.5">
      <c r="A173" s="62"/>
      <c r="C173" s="12"/>
      <c r="D173" s="12"/>
      <c r="E173" s="12"/>
      <c r="F173" s="12"/>
      <c r="G173" s="13"/>
    </row>
    <row r="174" spans="1:8" ht="23.5">
      <c r="A174" s="62"/>
      <c r="C174" s="12"/>
      <c r="D174" s="12"/>
      <c r="E174" s="12"/>
      <c r="F174" s="12"/>
      <c r="G174" s="13"/>
    </row>
    <row r="175" spans="1:8" ht="23.5">
      <c r="A175" s="62"/>
      <c r="C175" s="12"/>
      <c r="D175" s="12"/>
      <c r="E175" s="12"/>
      <c r="F175" s="12"/>
      <c r="G175" s="13"/>
    </row>
    <row r="176" spans="1:8" ht="23.5">
      <c r="A176" s="62"/>
      <c r="C176" s="12"/>
      <c r="D176" s="12"/>
      <c r="E176" s="12"/>
      <c r="F176" s="12"/>
      <c r="G176" s="13"/>
    </row>
    <row r="177" spans="1:7" ht="23.5">
      <c r="A177" s="62"/>
      <c r="C177" s="12"/>
      <c r="D177" s="12"/>
      <c r="E177" s="12"/>
      <c r="F177" s="12"/>
      <c r="G177" s="13"/>
    </row>
    <row r="178" spans="1:7" ht="23.5">
      <c r="A178" s="62"/>
      <c r="B178" s="11"/>
      <c r="C178" s="12"/>
      <c r="D178" s="12"/>
      <c r="E178" s="12"/>
      <c r="F178" s="12"/>
      <c r="G178" s="13"/>
    </row>
    <row r="180" spans="1:7">
      <c r="A180" s="58"/>
    </row>
    <row r="181" spans="1:7">
      <c r="A181" s="58"/>
    </row>
    <row r="182" spans="1:7">
      <c r="A182" t="s">
        <v>113</v>
      </c>
      <c r="B182" s="22">
        <v>624500</v>
      </c>
      <c r="C182" t="s">
        <v>114</v>
      </c>
    </row>
    <row r="183" spans="1:7">
      <c r="A183" t="s">
        <v>115</v>
      </c>
      <c r="B183" s="22">
        <v>138000</v>
      </c>
      <c r="C183" t="s">
        <v>116</v>
      </c>
    </row>
    <row r="185" spans="1:7" ht="20" customHeight="1">
      <c r="A185" s="234" t="s">
        <v>75</v>
      </c>
      <c r="B185" s="235" t="s">
        <v>117</v>
      </c>
      <c r="C185" s="235"/>
      <c r="D185" s="235"/>
      <c r="E185" s="236" t="s">
        <v>118</v>
      </c>
      <c r="F185" s="198"/>
    </row>
    <row r="186" spans="1:7" ht="31" customHeight="1">
      <c r="A186" s="234"/>
      <c r="B186" s="68" t="s">
        <v>119</v>
      </c>
      <c r="C186" s="68" t="s">
        <v>120</v>
      </c>
      <c r="D186" s="68" t="s">
        <v>0</v>
      </c>
      <c r="E186" s="237"/>
      <c r="F186" s="198"/>
    </row>
    <row r="187" spans="1:7" ht="17" customHeight="1">
      <c r="A187" s="238" t="s">
        <v>121</v>
      </c>
      <c r="B187" s="239"/>
      <c r="C187" s="239"/>
      <c r="D187" s="239"/>
      <c r="E187" s="240"/>
      <c r="F187" s="199"/>
    </row>
    <row r="188" spans="1:7">
      <c r="A188" s="48" t="s">
        <v>77</v>
      </c>
      <c r="B188" s="49" t="e">
        <f>#REF!</f>
        <v>#REF!</v>
      </c>
      <c r="C188" s="68" t="s">
        <v>122</v>
      </c>
      <c r="D188" s="51" t="s">
        <v>123</v>
      </c>
      <c r="E188" s="52" t="e">
        <f>B188*$B$182/2000</f>
        <v>#REF!</v>
      </c>
      <c r="F188" s="196"/>
    </row>
    <row r="189" spans="1:7">
      <c r="A189" s="48" t="s">
        <v>78</v>
      </c>
      <c r="B189" s="49" t="e">
        <f>#REF!</f>
        <v>#REF!</v>
      </c>
      <c r="C189" s="68" t="s">
        <v>122</v>
      </c>
      <c r="D189" s="51" t="s">
        <v>123</v>
      </c>
      <c r="E189" s="52" t="e">
        <f>B189*$B$182/2000</f>
        <v>#REF!</v>
      </c>
      <c r="F189" s="196"/>
    </row>
    <row r="190" spans="1:7">
      <c r="A190" s="48" t="s">
        <v>79</v>
      </c>
      <c r="B190" s="49" t="e">
        <f>#REF!</f>
        <v>#REF!</v>
      </c>
      <c r="C190" s="68" t="s">
        <v>122</v>
      </c>
      <c r="D190" s="51" t="s">
        <v>123</v>
      </c>
      <c r="E190" s="53" t="e">
        <f>B190*$B$182/2000</f>
        <v>#REF!</v>
      </c>
      <c r="F190" s="197"/>
    </row>
    <row r="191" spans="1:7">
      <c r="A191" s="48" t="s">
        <v>80</v>
      </c>
      <c r="B191" s="49" t="e">
        <f>#REF!</f>
        <v>#REF!</v>
      </c>
      <c r="C191" s="68" t="s">
        <v>122</v>
      </c>
      <c r="D191" s="51" t="s">
        <v>123</v>
      </c>
      <c r="E191" s="53" t="e">
        <f>B191*$B$182/2000</f>
        <v>#REF!</v>
      </c>
      <c r="F191" s="197"/>
    </row>
    <row r="192" spans="1:7">
      <c r="A192" s="48" t="s">
        <v>81</v>
      </c>
      <c r="B192" s="49" t="e">
        <f>#REF!</f>
        <v>#REF!</v>
      </c>
      <c r="C192" s="68" t="s">
        <v>122</v>
      </c>
      <c r="D192" s="51" t="s">
        <v>123</v>
      </c>
      <c r="E192" s="53" t="e">
        <f>B192*$B$182/2000</f>
        <v>#REF!</v>
      </c>
      <c r="F192" s="197"/>
    </row>
    <row r="193" spans="1:7">
      <c r="A193" s="48" t="s">
        <v>124</v>
      </c>
      <c r="B193" s="49">
        <v>8.3000000000000001E-3</v>
      </c>
      <c r="C193" s="68" t="s">
        <v>125</v>
      </c>
      <c r="D193" s="51" t="s">
        <v>126</v>
      </c>
      <c r="E193" s="55">
        <f>B193*B182/1000/2000</f>
        <v>2.5916750000000003E-3</v>
      </c>
      <c r="F193" s="123"/>
    </row>
    <row r="194" spans="1:7">
      <c r="A194" s="230" t="s">
        <v>90</v>
      </c>
      <c r="B194" s="231"/>
      <c r="C194" s="231"/>
      <c r="D194" s="231"/>
      <c r="E194" s="232"/>
      <c r="F194" s="190"/>
    </row>
    <row r="195" spans="1:7">
      <c r="A195" s="48" t="s">
        <v>91</v>
      </c>
      <c r="B195" s="49">
        <v>1.04E-5</v>
      </c>
      <c r="C195" s="68" t="s">
        <v>92</v>
      </c>
      <c r="D195" s="51" t="s">
        <v>93</v>
      </c>
      <c r="E195" s="52">
        <f>B195*$B$182</f>
        <v>6.4948000000000006</v>
      </c>
      <c r="F195" s="196"/>
      <c r="G195" t="s">
        <v>94</v>
      </c>
    </row>
    <row r="196" spans="1:7">
      <c r="A196" s="48" t="s">
        <v>95</v>
      </c>
      <c r="B196" s="49">
        <v>1.0206E-2</v>
      </c>
      <c r="C196" s="68" t="s">
        <v>92</v>
      </c>
      <c r="D196" s="51" t="s">
        <v>93</v>
      </c>
      <c r="E196" s="65">
        <f>B196*$B$182</f>
        <v>6373.6469999999999</v>
      </c>
      <c r="F196" s="200"/>
      <c r="G196" t="s">
        <v>94</v>
      </c>
    </row>
    <row r="197" spans="1:7">
      <c r="A197" s="48" t="s">
        <v>96</v>
      </c>
      <c r="B197" s="49">
        <v>2.4700000000000001E-5</v>
      </c>
      <c r="C197" s="68" t="s">
        <v>92</v>
      </c>
      <c r="D197" s="51" t="s">
        <v>93</v>
      </c>
      <c r="E197" s="52">
        <f>B197*$B$182</f>
        <v>15.42515</v>
      </c>
      <c r="F197" s="196"/>
      <c r="G197" t="s">
        <v>94</v>
      </c>
    </row>
    <row r="198" spans="1:7">
      <c r="A198" s="230" t="s">
        <v>97</v>
      </c>
      <c r="B198" s="231"/>
      <c r="C198" s="231"/>
      <c r="D198" s="231"/>
      <c r="E198" s="232"/>
      <c r="F198" s="190"/>
    </row>
    <row r="199" spans="1:7">
      <c r="A199" s="48" t="s">
        <v>12</v>
      </c>
      <c r="B199" s="49">
        <v>7.76E-4</v>
      </c>
      <c r="C199" s="68" t="s">
        <v>99</v>
      </c>
      <c r="D199" s="51" t="s">
        <v>100</v>
      </c>
      <c r="E199" s="54">
        <f t="shared" ref="E199:E206" si="3">B199*$B$182*$B$183/1000000/2000</f>
        <v>3.3438228E-2</v>
      </c>
      <c r="F199" s="181"/>
    </row>
    <row r="200" spans="1:7">
      <c r="A200" s="48" t="s">
        <v>53</v>
      </c>
      <c r="B200" s="49">
        <v>2.81E-4</v>
      </c>
      <c r="C200" s="68" t="s">
        <v>99</v>
      </c>
      <c r="D200" s="51" t="s">
        <v>100</v>
      </c>
      <c r="E200" s="55">
        <f t="shared" si="3"/>
        <v>1.2108430500000001E-2</v>
      </c>
      <c r="F200" s="123"/>
    </row>
    <row r="201" spans="1:7">
      <c r="A201" s="48" t="s">
        <v>101</v>
      </c>
      <c r="B201" s="49">
        <v>1.93E-4</v>
      </c>
      <c r="C201" s="68" t="s">
        <v>99</v>
      </c>
      <c r="D201" s="51" t="s">
        <v>100</v>
      </c>
      <c r="E201" s="55">
        <f t="shared" si="3"/>
        <v>8.3164665000000013E-3</v>
      </c>
      <c r="F201" s="123"/>
    </row>
    <row r="202" spans="1:7">
      <c r="A202" s="48" t="s">
        <v>29</v>
      </c>
      <c r="B202" s="49">
        <v>7.8899999999999993E-5</v>
      </c>
      <c r="C202" s="68" t="s">
        <v>99</v>
      </c>
      <c r="D202" s="51" t="s">
        <v>100</v>
      </c>
      <c r="E202" s="55">
        <f t="shared" si="3"/>
        <v>3.3998404499999998E-3</v>
      </c>
      <c r="F202" s="123"/>
    </row>
    <row r="203" spans="1:7">
      <c r="A203" s="48" t="s">
        <v>2</v>
      </c>
      <c r="B203" s="49">
        <v>2.5199999999999999E-5</v>
      </c>
      <c r="C203" s="68" t="s">
        <v>99</v>
      </c>
      <c r="D203" s="51" t="s">
        <v>100</v>
      </c>
      <c r="E203" s="56">
        <f t="shared" si="3"/>
        <v>1.0858805999999998E-3</v>
      </c>
      <c r="F203" s="124"/>
    </row>
    <row r="204" spans="1:7">
      <c r="A204" s="48" t="s">
        <v>4</v>
      </c>
      <c r="B204" s="49">
        <v>7.8800000000000008E-6</v>
      </c>
      <c r="C204" s="68" t="s">
        <v>99</v>
      </c>
      <c r="D204" s="51" t="s">
        <v>100</v>
      </c>
      <c r="E204" s="56">
        <f t="shared" si="3"/>
        <v>3.3955314000000007E-4</v>
      </c>
      <c r="F204" s="124"/>
    </row>
    <row r="205" spans="1:7">
      <c r="A205" s="48" t="s">
        <v>102</v>
      </c>
      <c r="B205" s="49">
        <v>1.2999999999999999E-4</v>
      </c>
      <c r="C205" s="68" t="s">
        <v>99</v>
      </c>
      <c r="D205" s="51" t="s">
        <v>100</v>
      </c>
      <c r="E205" s="55">
        <f t="shared" si="3"/>
        <v>5.6017649999999999E-3</v>
      </c>
      <c r="F205" s="123"/>
    </row>
    <row r="206" spans="1:7">
      <c r="A206" s="48" t="s">
        <v>103</v>
      </c>
      <c r="B206" s="49">
        <v>2.12E-4</v>
      </c>
      <c r="C206" s="68" t="s">
        <v>99</v>
      </c>
      <c r="D206" s="51" t="s">
        <v>100</v>
      </c>
      <c r="E206" s="55">
        <f t="shared" si="3"/>
        <v>9.135186E-3</v>
      </c>
      <c r="F206" s="123"/>
    </row>
    <row r="207" spans="1:7">
      <c r="A207" s="48" t="s">
        <v>104</v>
      </c>
      <c r="B207" s="49"/>
      <c r="C207" s="68"/>
      <c r="D207" s="48"/>
      <c r="E207" s="54">
        <f>SUM(E199:E206)</f>
        <v>7.3425350190000002E-2</v>
      </c>
      <c r="F207" s="181"/>
    </row>
    <row r="208" spans="1:7">
      <c r="B208" s="57"/>
      <c r="C208" s="3"/>
      <c r="E208" s="24"/>
      <c r="F208" s="24"/>
    </row>
    <row r="209" spans="1:8">
      <c r="A209" t="s">
        <v>105</v>
      </c>
      <c r="B209" s="57"/>
      <c r="C209" s="3"/>
      <c r="E209" s="24"/>
      <c r="F209" s="24"/>
    </row>
    <row r="210" spans="1:8">
      <c r="A210" t="s">
        <v>106</v>
      </c>
      <c r="B210" s="57"/>
      <c r="C210" s="3"/>
      <c r="E210" s="24"/>
      <c r="F210" s="24"/>
    </row>
    <row r="211" spans="1:8">
      <c r="A211" t="s">
        <v>107</v>
      </c>
      <c r="B211" s="57"/>
      <c r="C211" s="3"/>
      <c r="E211" s="24"/>
      <c r="F211" s="24"/>
    </row>
    <row r="212" spans="1:8">
      <c r="A212" t="s">
        <v>108</v>
      </c>
      <c r="B212" s="57"/>
      <c r="C212" s="3"/>
      <c r="E212" s="24"/>
      <c r="F212" s="24"/>
    </row>
    <row r="213" spans="1:8">
      <c r="B213" s="57"/>
      <c r="C213" s="3"/>
      <c r="E213" s="24"/>
      <c r="F213" s="24"/>
    </row>
    <row r="215" spans="1:8">
      <c r="A215" s="58" t="s">
        <v>127</v>
      </c>
    </row>
    <row r="217" spans="1:8">
      <c r="A217" s="68" t="s">
        <v>77</v>
      </c>
      <c r="B217" s="68" t="s">
        <v>78</v>
      </c>
      <c r="C217" s="68" t="s">
        <v>79</v>
      </c>
      <c r="D217" s="68" t="s">
        <v>80</v>
      </c>
      <c r="E217" s="68" t="s">
        <v>81</v>
      </c>
      <c r="F217" s="59"/>
      <c r="G217" s="59" t="s">
        <v>111</v>
      </c>
      <c r="H217" s="68" t="s">
        <v>112</v>
      </c>
    </row>
    <row r="218" spans="1:8">
      <c r="A218" s="228" t="s">
        <v>61</v>
      </c>
      <c r="B218" s="233"/>
      <c r="C218" s="233"/>
      <c r="D218" s="233"/>
      <c r="E218" s="233"/>
      <c r="F218" s="233"/>
      <c r="G218" s="233"/>
      <c r="H218" s="229"/>
    </row>
    <row r="219" spans="1:8">
      <c r="A219" s="60" t="e">
        <f>E188</f>
        <v>#REF!</v>
      </c>
      <c r="B219" s="60" t="e">
        <f>E189</f>
        <v>#REF!</v>
      </c>
      <c r="C219" s="60" t="e">
        <f>E190</f>
        <v>#REF!</v>
      </c>
      <c r="D219" s="61" t="e">
        <f>E191</f>
        <v>#REF!</v>
      </c>
      <c r="E219" s="61" t="e">
        <f>E192</f>
        <v>#REF!</v>
      </c>
      <c r="F219" s="61"/>
      <c r="G219" s="60">
        <f>SUM(E195:E197)</f>
        <v>6395.5669500000004</v>
      </c>
      <c r="H219" s="54">
        <f>E207</f>
        <v>7.3425350190000002E-2</v>
      </c>
    </row>
  </sheetData>
  <mergeCells count="14">
    <mergeCell ref="A146:E146"/>
    <mergeCell ref="A23:C23"/>
    <mergeCell ref="A33:C33"/>
    <mergeCell ref="A39:E39"/>
    <mergeCell ref="G39:H39"/>
    <mergeCell ref="A142:E142"/>
    <mergeCell ref="A198:E198"/>
    <mergeCell ref="A218:H218"/>
    <mergeCell ref="A166:H166"/>
    <mergeCell ref="A185:A186"/>
    <mergeCell ref="B185:D185"/>
    <mergeCell ref="E185:E186"/>
    <mergeCell ref="A187:E187"/>
    <mergeCell ref="A194:E194"/>
  </mergeCells>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A2D66-28B7-0340-BDB3-00FF88D13C93}">
  <sheetPr>
    <tabColor rgb="FF008000"/>
  </sheetPr>
  <dimension ref="A1:K216"/>
  <sheetViews>
    <sheetView topLeftCell="A49" zoomScale="86" zoomScaleNormal="86" workbookViewId="0">
      <selection activeCell="I65" sqref="I65"/>
    </sheetView>
  </sheetViews>
  <sheetFormatPr defaultColWidth="11" defaultRowHeight="15.5"/>
  <cols>
    <col min="1" max="1" width="27.83203125" customWidth="1"/>
    <col min="2" max="2" width="10.1640625" customWidth="1"/>
    <col min="3" max="3" width="10" customWidth="1"/>
    <col min="4" max="10" width="9.6640625" customWidth="1"/>
    <col min="13" max="13" width="12.6640625" customWidth="1"/>
    <col min="14" max="14" width="14" customWidth="1"/>
  </cols>
  <sheetData>
    <row r="1" spans="1:11" ht="21">
      <c r="A1" s="10"/>
      <c r="B1" s="11"/>
      <c r="C1" s="12"/>
      <c r="D1" s="12"/>
      <c r="E1" s="12"/>
      <c r="F1" s="13"/>
    </row>
    <row r="3" spans="1:11">
      <c r="A3" s="14"/>
    </row>
    <row r="4" spans="1:11" ht="18">
      <c r="A4" s="15" t="s">
        <v>281</v>
      </c>
    </row>
    <row r="6" spans="1:11" s="20" customFormat="1">
      <c r="A6" s="18" t="s">
        <v>280</v>
      </c>
      <c r="B6" s="17">
        <v>1</v>
      </c>
      <c r="C6" s="18"/>
      <c r="D6" s="19"/>
      <c r="F6"/>
      <c r="G6"/>
      <c r="H6"/>
      <c r="I6"/>
      <c r="J6"/>
      <c r="K6"/>
    </row>
    <row r="7" spans="1:11" s="20" customFormat="1">
      <c r="A7" s="18" t="s">
        <v>62</v>
      </c>
      <c r="B7" s="21">
        <v>4</v>
      </c>
      <c r="C7" s="18" t="s">
        <v>63</v>
      </c>
      <c r="D7" s="19"/>
      <c r="F7" s="66"/>
      <c r="G7"/>
      <c r="H7"/>
      <c r="I7"/>
      <c r="J7"/>
      <c r="K7"/>
    </row>
    <row r="8" spans="1:11">
      <c r="A8" s="18" t="s">
        <v>64</v>
      </c>
      <c r="B8" s="22">
        <v>1020</v>
      </c>
      <c r="C8" t="s">
        <v>65</v>
      </c>
    </row>
    <row r="9" spans="1:11">
      <c r="A9" s="18" t="s">
        <v>66</v>
      </c>
      <c r="B9" s="22">
        <v>24</v>
      </c>
    </row>
    <row r="10" spans="1:11">
      <c r="A10" s="18" t="s">
        <v>67</v>
      </c>
      <c r="B10" s="17">
        <v>8760</v>
      </c>
    </row>
    <row r="11" spans="1:11" ht="31">
      <c r="A11" s="164" t="s">
        <v>129</v>
      </c>
      <c r="B11" s="194">
        <v>1</v>
      </c>
      <c r="F11" s="66"/>
      <c r="I11" s="66"/>
    </row>
    <row r="12" spans="1:11" ht="15.75" customHeight="1">
      <c r="A12" s="18" t="s">
        <v>68</v>
      </c>
      <c r="B12" s="24">
        <f>B6*B7*B10*B11</f>
        <v>35040</v>
      </c>
      <c r="C12" t="s">
        <v>69</v>
      </c>
      <c r="D12" s="25"/>
    </row>
    <row r="13" spans="1:11" ht="15.75" customHeight="1">
      <c r="A13" s="18" t="s">
        <v>68</v>
      </c>
      <c r="B13" s="24">
        <f>B12/B8</f>
        <v>34.352941176470587</v>
      </c>
      <c r="C13" t="s">
        <v>70</v>
      </c>
      <c r="D13" s="25"/>
    </row>
    <row r="14" spans="1:11">
      <c r="A14" s="18"/>
      <c r="B14" s="22"/>
    </row>
    <row r="15" spans="1:11" ht="15.75" customHeight="1">
      <c r="A15" s="18"/>
      <c r="B15" s="24"/>
      <c r="D15" s="25"/>
    </row>
    <row r="16" spans="1:11" s="20" customFormat="1">
      <c r="A16" s="16" t="s">
        <v>128</v>
      </c>
      <c r="B16" s="17"/>
      <c r="C16" s="18"/>
      <c r="D16" s="19"/>
    </row>
    <row r="17" spans="1:4" ht="15.75" customHeight="1">
      <c r="A17" s="18" t="s">
        <v>71</v>
      </c>
      <c r="B17" s="24">
        <f>B12</f>
        <v>35040</v>
      </c>
      <c r="C17" t="s">
        <v>69</v>
      </c>
      <c r="D17" s="25"/>
    </row>
    <row r="18" spans="1:4" ht="15.75" customHeight="1">
      <c r="A18" s="18" t="s">
        <v>71</v>
      </c>
      <c r="B18" s="24">
        <f>B13</f>
        <v>34.352941176470587</v>
      </c>
      <c r="C18" t="s">
        <v>70</v>
      </c>
      <c r="D18" s="25"/>
    </row>
    <row r="19" spans="1:4" ht="15.75" customHeight="1">
      <c r="A19" s="18" t="s">
        <v>72</v>
      </c>
      <c r="B19" s="27">
        <f>B6*B7/B8*B9</f>
        <v>9.4117647058823528E-2</v>
      </c>
      <c r="C19" t="s">
        <v>73</v>
      </c>
      <c r="D19" s="25"/>
    </row>
    <row r="20" spans="1:4" ht="15.75" customHeight="1">
      <c r="A20" s="18"/>
      <c r="B20" s="24"/>
      <c r="D20" s="28"/>
    </row>
    <row r="21" spans="1:4" ht="18" customHeight="1">
      <c r="A21" s="241" t="s">
        <v>74</v>
      </c>
      <c r="B21" s="241"/>
      <c r="C21" s="241"/>
    </row>
    <row r="22" spans="1:4" ht="47" customHeight="1">
      <c r="A22" s="29" t="s">
        <v>75</v>
      </c>
      <c r="B22" s="30" t="s">
        <v>76</v>
      </c>
      <c r="C22" s="29" t="s">
        <v>130</v>
      </c>
    </row>
    <row r="23" spans="1:4" ht="15.75" customHeight="1">
      <c r="A23" s="31" t="s">
        <v>77</v>
      </c>
      <c r="B23" s="31">
        <v>100</v>
      </c>
      <c r="C23" s="34">
        <f>B23*$B$18/2000</f>
        <v>1.7176470588235293</v>
      </c>
    </row>
    <row r="24" spans="1:4" ht="15.75" customHeight="1">
      <c r="A24" s="31" t="s">
        <v>78</v>
      </c>
      <c r="B24" s="31">
        <v>84</v>
      </c>
      <c r="C24" s="34">
        <f>B24*$B$18/2000</f>
        <v>1.4428235294117646</v>
      </c>
    </row>
    <row r="25" spans="1:4" ht="15.75" customHeight="1">
      <c r="A25" s="31" t="s">
        <v>79</v>
      </c>
      <c r="B25" s="31">
        <v>5.5</v>
      </c>
      <c r="C25" s="67">
        <f>B25*$B$18/2000</f>
        <v>9.4470588235294112E-2</v>
      </c>
    </row>
    <row r="26" spans="1:4" ht="15.75" customHeight="1">
      <c r="A26" s="31" t="s">
        <v>80</v>
      </c>
      <c r="B26" s="31">
        <v>2.5</v>
      </c>
      <c r="C26" s="67">
        <f>B26*$B$18/2000</f>
        <v>4.2941176470588233E-2</v>
      </c>
    </row>
    <row r="27" spans="1:4">
      <c r="A27" s="31" t="s">
        <v>81</v>
      </c>
      <c r="B27" s="31">
        <v>2.6</v>
      </c>
      <c r="C27" s="67">
        <f>B27*$B$18/2000</f>
        <v>4.4658823529411765E-2</v>
      </c>
    </row>
    <row r="28" spans="1:4">
      <c r="A28" s="35" t="s">
        <v>82</v>
      </c>
      <c r="B28" s="36"/>
      <c r="C28" s="37"/>
    </row>
    <row r="29" spans="1:4">
      <c r="A29" s="38"/>
      <c r="B29" s="38"/>
      <c r="C29" s="39"/>
    </row>
    <row r="30" spans="1:4" ht="18" customHeight="1">
      <c r="A30" s="241" t="s">
        <v>83</v>
      </c>
      <c r="B30" s="241"/>
      <c r="C30" s="241"/>
    </row>
    <row r="31" spans="1:4" ht="49" customHeight="1">
      <c r="A31" s="29" t="s">
        <v>75</v>
      </c>
      <c r="B31" s="30" t="s">
        <v>84</v>
      </c>
      <c r="C31" s="29" t="s">
        <v>130</v>
      </c>
    </row>
    <row r="32" spans="1:4">
      <c r="A32" s="31" t="s">
        <v>85</v>
      </c>
      <c r="B32" s="31">
        <v>53.114800000000002</v>
      </c>
      <c r="C32" s="33">
        <f>(B32*B17/1000)*1.10231</f>
        <v>2051.55609058752</v>
      </c>
    </row>
    <row r="33" spans="1:9">
      <c r="A33" s="35" t="s">
        <v>86</v>
      </c>
      <c r="B33" s="36"/>
      <c r="C33" s="37"/>
    </row>
    <row r="34" spans="1:9">
      <c r="C34" s="26"/>
    </row>
    <row r="35" spans="1:9">
      <c r="C35" s="26"/>
    </row>
    <row r="36" spans="1:9" ht="21" customHeight="1">
      <c r="A36" s="242" t="s">
        <v>87</v>
      </c>
      <c r="B36" s="243"/>
      <c r="C36" s="243"/>
      <c r="D36" s="243"/>
      <c r="E36" s="244"/>
      <c r="F36" s="245" t="s">
        <v>131</v>
      </c>
      <c r="G36" s="246"/>
    </row>
    <row r="37" spans="1:9" ht="58" customHeight="1">
      <c r="A37" s="40" t="s">
        <v>75</v>
      </c>
      <c r="B37" s="40" t="s">
        <v>88</v>
      </c>
      <c r="C37" s="41" t="s">
        <v>76</v>
      </c>
      <c r="D37" s="69" t="s">
        <v>132</v>
      </c>
      <c r="E37" s="69" t="s">
        <v>133</v>
      </c>
      <c r="F37" s="69" t="s">
        <v>132</v>
      </c>
      <c r="G37" s="69" t="s">
        <v>133</v>
      </c>
      <c r="I37" s="43"/>
    </row>
    <row r="38" spans="1:9">
      <c r="A38" s="111" t="s">
        <v>12</v>
      </c>
      <c r="B38" s="31" t="s">
        <v>11</v>
      </c>
      <c r="C38" s="31">
        <v>8.0000000000000002E-3</v>
      </c>
      <c r="D38" s="44">
        <f t="shared" ref="D38:D64" si="0">C38*$B$19</f>
        <v>7.5294117647058828E-4</v>
      </c>
      <c r="E38" s="34">
        <f t="shared" ref="E38:E64" si="1">C38*$B$18</f>
        <v>0.27482352941176469</v>
      </c>
      <c r="F38" s="45">
        <f t="shared" ref="F38:G64" si="2">D38/$B$6</f>
        <v>7.5294117647058828E-4</v>
      </c>
      <c r="G38" s="45">
        <f t="shared" si="2"/>
        <v>0.27482352941176469</v>
      </c>
      <c r="I38" t="s">
        <v>266</v>
      </c>
    </row>
    <row r="39" spans="1:9">
      <c r="A39" s="111" t="s">
        <v>29</v>
      </c>
      <c r="B39" s="31" t="s">
        <v>28</v>
      </c>
      <c r="C39" s="31">
        <v>1.7000000000000001E-2</v>
      </c>
      <c r="D39" s="44">
        <f t="shared" si="0"/>
        <v>1.6000000000000001E-3</v>
      </c>
      <c r="E39" s="34">
        <f t="shared" si="1"/>
        <v>0.58400000000000007</v>
      </c>
      <c r="F39" s="45">
        <f t="shared" si="2"/>
        <v>1.6000000000000001E-3</v>
      </c>
      <c r="G39" s="45">
        <f t="shared" si="2"/>
        <v>0.58400000000000007</v>
      </c>
      <c r="I39" t="s">
        <v>266</v>
      </c>
    </row>
    <row r="40" spans="1:9" ht="31">
      <c r="A40" s="111" t="s">
        <v>47</v>
      </c>
      <c r="B40" s="76">
        <v>401</v>
      </c>
      <c r="C40" s="31">
        <v>1E-4</v>
      </c>
      <c r="D40" s="44">
        <f t="shared" si="0"/>
        <v>9.4117647058823538E-6</v>
      </c>
      <c r="E40" s="34">
        <f t="shared" si="1"/>
        <v>3.435294117647059E-3</v>
      </c>
      <c r="F40" s="45">
        <f t="shared" si="2"/>
        <v>9.4117647058823538E-6</v>
      </c>
      <c r="G40" s="45">
        <f t="shared" si="2"/>
        <v>3.435294117647059E-3</v>
      </c>
      <c r="I40" t="s">
        <v>266</v>
      </c>
    </row>
    <row r="41" spans="1:9">
      <c r="A41" s="111" t="s">
        <v>14</v>
      </c>
      <c r="B41" s="31" t="s">
        <v>13</v>
      </c>
      <c r="C41" s="31">
        <v>1.1999999999999999E-6</v>
      </c>
      <c r="D41" s="44">
        <f t="shared" si="0"/>
        <v>1.1294117647058823E-7</v>
      </c>
      <c r="E41" s="34">
        <f t="shared" si="1"/>
        <v>4.12235294117647E-5</v>
      </c>
      <c r="F41" s="45">
        <f t="shared" si="2"/>
        <v>1.1294117647058823E-7</v>
      </c>
      <c r="G41" s="45">
        <f t="shared" si="2"/>
        <v>4.12235294117647E-5</v>
      </c>
      <c r="I41" t="s">
        <v>266</v>
      </c>
    </row>
    <row r="42" spans="1:9">
      <c r="A42" s="111" t="s">
        <v>42</v>
      </c>
      <c r="B42" s="31" t="s">
        <v>41</v>
      </c>
      <c r="C42" s="31">
        <v>2.9999999999999997E-4</v>
      </c>
      <c r="D42" s="44">
        <f t="shared" si="0"/>
        <v>2.8235294117647056E-5</v>
      </c>
      <c r="E42" s="34">
        <f t="shared" si="1"/>
        <v>1.0305882352941175E-2</v>
      </c>
      <c r="F42" s="45">
        <f t="shared" si="2"/>
        <v>2.8235294117647056E-5</v>
      </c>
      <c r="G42" s="45">
        <f t="shared" si="2"/>
        <v>1.0305882352941175E-2</v>
      </c>
      <c r="I42" t="s">
        <v>266</v>
      </c>
    </row>
    <row r="43" spans="1:9">
      <c r="A43" s="111" t="s">
        <v>2</v>
      </c>
      <c r="B43" s="31" t="s">
        <v>1</v>
      </c>
      <c r="C43" s="31">
        <v>4.3E-3</v>
      </c>
      <c r="D43" s="44">
        <f t="shared" si="0"/>
        <v>4.047058823529412E-4</v>
      </c>
      <c r="E43" s="34">
        <f t="shared" si="1"/>
        <v>0.14771764705882354</v>
      </c>
      <c r="F43" s="45">
        <f t="shared" si="2"/>
        <v>4.047058823529412E-4</v>
      </c>
      <c r="G43" s="45">
        <f t="shared" si="2"/>
        <v>0.14771764705882354</v>
      </c>
      <c r="I43" t="s">
        <v>266</v>
      </c>
    </row>
    <row r="44" spans="1:9">
      <c r="A44" s="111" t="s">
        <v>4</v>
      </c>
      <c r="B44" s="31" t="s">
        <v>3</v>
      </c>
      <c r="C44" s="31">
        <v>2.7000000000000001E-3</v>
      </c>
      <c r="D44" s="44">
        <f t="shared" si="0"/>
        <v>2.5411764705882356E-4</v>
      </c>
      <c r="E44" s="34">
        <f t="shared" si="1"/>
        <v>9.2752941176470594E-2</v>
      </c>
      <c r="F44" s="45">
        <f t="shared" si="2"/>
        <v>2.5411764705882356E-4</v>
      </c>
      <c r="G44" s="45">
        <f t="shared" si="2"/>
        <v>9.2752941176470594E-2</v>
      </c>
      <c r="I44" t="s">
        <v>266</v>
      </c>
    </row>
    <row r="45" spans="1:9">
      <c r="A45" s="111" t="s">
        <v>6</v>
      </c>
      <c r="B45" s="31" t="s">
        <v>5</v>
      </c>
      <c r="C45" s="31">
        <v>3.2</v>
      </c>
      <c r="D45" s="44">
        <f t="shared" si="0"/>
        <v>0.30117647058823532</v>
      </c>
      <c r="E45" s="34">
        <f t="shared" si="1"/>
        <v>109.92941176470589</v>
      </c>
      <c r="F45" s="45">
        <f t="shared" si="2"/>
        <v>0.30117647058823532</v>
      </c>
      <c r="G45" s="45">
        <f t="shared" si="2"/>
        <v>109.92941176470589</v>
      </c>
    </row>
    <row r="46" spans="1:9">
      <c r="A46" s="111" t="s">
        <v>8</v>
      </c>
      <c r="B46" s="31" t="s">
        <v>7</v>
      </c>
      <c r="C46" s="31">
        <v>2.0000000000000001E-4</v>
      </c>
      <c r="D46" s="44">
        <f t="shared" si="0"/>
        <v>1.8823529411764708E-5</v>
      </c>
      <c r="E46" s="34">
        <f t="shared" si="1"/>
        <v>6.8705882352941179E-3</v>
      </c>
      <c r="F46" s="45">
        <f t="shared" si="2"/>
        <v>1.8823529411764708E-5</v>
      </c>
      <c r="G46" s="45">
        <f t="shared" si="2"/>
        <v>6.8705882352941179E-3</v>
      </c>
      <c r="I46" t="s">
        <v>266</v>
      </c>
    </row>
    <row r="47" spans="1:9">
      <c r="A47" s="111" t="s">
        <v>10</v>
      </c>
      <c r="B47" s="31" t="s">
        <v>9</v>
      </c>
      <c r="C47" s="31">
        <v>4.4000000000000003E-3</v>
      </c>
      <c r="D47" s="44">
        <f t="shared" si="0"/>
        <v>4.1411764705882355E-4</v>
      </c>
      <c r="E47" s="34">
        <f t="shared" si="1"/>
        <v>0.1511529411764706</v>
      </c>
      <c r="F47" s="45">
        <f t="shared" si="2"/>
        <v>4.1411764705882355E-4</v>
      </c>
      <c r="G47" s="45">
        <f t="shared" si="2"/>
        <v>0.1511529411764706</v>
      </c>
    </row>
    <row r="48" spans="1:9">
      <c r="A48" s="111" t="s">
        <v>16</v>
      </c>
      <c r="B48" s="31" t="s">
        <v>15</v>
      </c>
      <c r="C48" s="31">
        <v>1.2E-5</v>
      </c>
      <c r="D48" s="44">
        <f t="shared" si="0"/>
        <v>1.1294117647058824E-6</v>
      </c>
      <c r="E48" s="34">
        <f t="shared" si="1"/>
        <v>4.1223529411764707E-4</v>
      </c>
      <c r="F48" s="45">
        <f t="shared" si="2"/>
        <v>1.1294117647058824E-6</v>
      </c>
      <c r="G48" s="45">
        <f t="shared" si="2"/>
        <v>4.1223529411764707E-4</v>
      </c>
      <c r="I48" t="s">
        <v>266</v>
      </c>
    </row>
    <row r="49" spans="1:9">
      <c r="A49" s="111" t="s">
        <v>18</v>
      </c>
      <c r="B49" s="46" t="s">
        <v>17</v>
      </c>
      <c r="C49" s="31">
        <v>1.1000000000000001E-3</v>
      </c>
      <c r="D49" s="44">
        <f t="shared" si="0"/>
        <v>1.0352941176470589E-4</v>
      </c>
      <c r="E49" s="34">
        <f t="shared" si="1"/>
        <v>3.778823529411765E-2</v>
      </c>
      <c r="F49" s="45">
        <f t="shared" si="2"/>
        <v>1.0352941176470589E-4</v>
      </c>
      <c r="G49" s="45">
        <f t="shared" si="2"/>
        <v>3.778823529411765E-2</v>
      </c>
      <c r="I49" t="s">
        <v>266</v>
      </c>
    </row>
    <row r="50" spans="1:9" ht="31">
      <c r="A50" s="111" t="s">
        <v>20</v>
      </c>
      <c r="B50" s="31" t="s">
        <v>19</v>
      </c>
      <c r="C50" s="31">
        <v>1.4E-3</v>
      </c>
      <c r="D50" s="44">
        <f t="shared" si="0"/>
        <v>1.3176470588235293E-4</v>
      </c>
      <c r="E50" s="34">
        <f t="shared" si="1"/>
        <v>4.8094117647058822E-2</v>
      </c>
      <c r="F50" s="45">
        <f t="shared" si="2"/>
        <v>1.3176470588235293E-4</v>
      </c>
      <c r="G50" s="45">
        <f t="shared" si="2"/>
        <v>4.8094117647058822E-2</v>
      </c>
      <c r="I50" t="s">
        <v>266</v>
      </c>
    </row>
    <row r="51" spans="1:9">
      <c r="A51" s="111" t="s">
        <v>22</v>
      </c>
      <c r="B51" s="31" t="s">
        <v>21</v>
      </c>
      <c r="C51" s="31">
        <v>8.3999999999999995E-5</v>
      </c>
      <c r="D51" s="44">
        <f t="shared" si="0"/>
        <v>7.9058823529411759E-6</v>
      </c>
      <c r="E51" s="34">
        <f t="shared" si="1"/>
        <v>2.8856470588235292E-3</v>
      </c>
      <c r="F51" s="45">
        <f t="shared" si="2"/>
        <v>7.9058823529411759E-6</v>
      </c>
      <c r="G51" s="45">
        <f t="shared" si="2"/>
        <v>2.8856470588235292E-3</v>
      </c>
      <c r="I51" t="s">
        <v>266</v>
      </c>
    </row>
    <row r="52" spans="1:9">
      <c r="A52" s="111" t="s">
        <v>24</v>
      </c>
      <c r="B52" s="31" t="s">
        <v>23</v>
      </c>
      <c r="C52" s="31">
        <v>8.4999999999999995E-4</v>
      </c>
      <c r="D52" s="44">
        <f t="shared" si="0"/>
        <v>7.9999999999999993E-5</v>
      </c>
      <c r="E52" s="34">
        <f t="shared" si="1"/>
        <v>2.9199999999999997E-2</v>
      </c>
      <c r="F52" s="45">
        <f t="shared" si="2"/>
        <v>7.9999999999999993E-5</v>
      </c>
      <c r="G52" s="45">
        <f t="shared" si="2"/>
        <v>2.9199999999999997E-2</v>
      </c>
    </row>
    <row r="53" spans="1:9">
      <c r="A53" s="111" t="s">
        <v>26</v>
      </c>
      <c r="B53" s="31" t="s">
        <v>25</v>
      </c>
      <c r="C53" s="31">
        <v>9.4999999999999998E-3</v>
      </c>
      <c r="D53" s="44">
        <f t="shared" si="0"/>
        <v>8.9411764705882345E-4</v>
      </c>
      <c r="E53" s="34">
        <f t="shared" si="1"/>
        <v>0.32635294117647057</v>
      </c>
      <c r="F53" s="45">
        <f t="shared" si="2"/>
        <v>8.9411764705882345E-4</v>
      </c>
      <c r="G53" s="45">
        <f t="shared" si="2"/>
        <v>0.32635294117647057</v>
      </c>
      <c r="I53" t="s">
        <v>266</v>
      </c>
    </row>
    <row r="54" spans="1:9">
      <c r="A54" s="111" t="s">
        <v>31</v>
      </c>
      <c r="B54" s="31" t="s">
        <v>30</v>
      </c>
      <c r="C54" s="31">
        <v>6.3E-3</v>
      </c>
      <c r="D54" s="44">
        <f t="shared" si="0"/>
        <v>5.9294117647058818E-4</v>
      </c>
      <c r="E54" s="34">
        <f t="shared" si="1"/>
        <v>0.21642352941176471</v>
      </c>
      <c r="F54" s="45">
        <f t="shared" si="2"/>
        <v>5.9294117647058818E-4</v>
      </c>
      <c r="G54" s="45">
        <f t="shared" si="2"/>
        <v>0.21642352941176471</v>
      </c>
      <c r="I54" t="s">
        <v>266</v>
      </c>
    </row>
    <row r="55" spans="1:9">
      <c r="A55" s="111" t="s">
        <v>34</v>
      </c>
      <c r="B55" s="31" t="s">
        <v>33</v>
      </c>
      <c r="C55" s="31">
        <v>5.0000000000000001E-4</v>
      </c>
      <c r="D55" s="44">
        <f t="shared" si="0"/>
        <v>4.7058823529411767E-5</v>
      </c>
      <c r="E55" s="34">
        <f t="shared" si="1"/>
        <v>1.7176470588235293E-2</v>
      </c>
      <c r="F55" s="45">
        <f t="shared" si="2"/>
        <v>4.7058823529411767E-5</v>
      </c>
      <c r="G55" s="45">
        <f t="shared" si="2"/>
        <v>1.7176470588235293E-2</v>
      </c>
      <c r="I55" t="s">
        <v>266</v>
      </c>
    </row>
    <row r="56" spans="1:9">
      <c r="A56" s="111" t="s">
        <v>36</v>
      </c>
      <c r="B56" s="31" t="s">
        <v>35</v>
      </c>
      <c r="C56" s="31">
        <v>3.8000000000000002E-4</v>
      </c>
      <c r="D56" s="44">
        <f t="shared" si="0"/>
        <v>3.5764705882352941E-5</v>
      </c>
      <c r="E56" s="34">
        <f t="shared" si="1"/>
        <v>1.3054117647058824E-2</v>
      </c>
      <c r="F56" s="45">
        <f t="shared" si="2"/>
        <v>3.5764705882352941E-5</v>
      </c>
      <c r="G56" s="45">
        <f t="shared" si="2"/>
        <v>1.3054117647058824E-2</v>
      </c>
      <c r="I56" t="s">
        <v>266</v>
      </c>
    </row>
    <row r="57" spans="1:9">
      <c r="A57" s="111" t="s">
        <v>38</v>
      </c>
      <c r="B57" s="31" t="s">
        <v>37</v>
      </c>
      <c r="C57" s="31">
        <v>2.5999999999999998E-4</v>
      </c>
      <c r="D57" s="44">
        <f t="shared" si="0"/>
        <v>2.4470588235294114E-5</v>
      </c>
      <c r="E57" s="34">
        <f t="shared" si="1"/>
        <v>8.9317647058823526E-3</v>
      </c>
      <c r="F57" s="45">
        <f t="shared" si="2"/>
        <v>2.4470588235294114E-5</v>
      </c>
      <c r="G57" s="45">
        <f t="shared" si="2"/>
        <v>8.9317647058823526E-3</v>
      </c>
      <c r="I57" t="s">
        <v>266</v>
      </c>
    </row>
    <row r="58" spans="1:9">
      <c r="A58" s="111" t="s">
        <v>40</v>
      </c>
      <c r="B58" s="31" t="s">
        <v>39</v>
      </c>
      <c r="C58" s="31">
        <v>1.65E-3</v>
      </c>
      <c r="D58" s="44">
        <f t="shared" si="0"/>
        <v>1.5529411764705881E-4</v>
      </c>
      <c r="E58" s="34">
        <f t="shared" si="1"/>
        <v>5.6682352941176468E-2</v>
      </c>
      <c r="F58" s="45">
        <f t="shared" si="2"/>
        <v>1.5529411764705881E-4</v>
      </c>
      <c r="G58" s="45">
        <f t="shared" si="2"/>
        <v>5.6682352941176468E-2</v>
      </c>
    </row>
    <row r="59" spans="1:9">
      <c r="A59" s="111" t="s">
        <v>44</v>
      </c>
      <c r="B59" s="76">
        <v>365</v>
      </c>
      <c r="C59" s="31">
        <v>2.0999999999999999E-3</v>
      </c>
      <c r="D59" s="44">
        <f t="shared" si="0"/>
        <v>1.9764705882352939E-4</v>
      </c>
      <c r="E59" s="34">
        <f t="shared" si="1"/>
        <v>7.2141176470588222E-2</v>
      </c>
      <c r="F59" s="45">
        <f t="shared" si="2"/>
        <v>1.9764705882352939E-4</v>
      </c>
      <c r="G59" s="45">
        <f t="shared" si="2"/>
        <v>7.2141176470588222E-2</v>
      </c>
      <c r="I59" t="s">
        <v>266</v>
      </c>
    </row>
    <row r="60" spans="1:9">
      <c r="A60" s="111" t="s">
        <v>51</v>
      </c>
      <c r="B60" s="31" t="s">
        <v>50</v>
      </c>
      <c r="C60" s="31">
        <v>2.4000000000000001E-5</v>
      </c>
      <c r="D60" s="44">
        <f t="shared" si="0"/>
        <v>2.2588235294117647E-6</v>
      </c>
      <c r="E60" s="34">
        <f t="shared" si="1"/>
        <v>8.2447058823529413E-4</v>
      </c>
      <c r="F60" s="45">
        <f t="shared" si="2"/>
        <v>2.2588235294117647E-6</v>
      </c>
      <c r="G60" s="45">
        <f t="shared" si="2"/>
        <v>8.2447058823529413E-4</v>
      </c>
      <c r="I60" t="s">
        <v>266</v>
      </c>
    </row>
    <row r="61" spans="1:9">
      <c r="A61" s="111" t="s">
        <v>53</v>
      </c>
      <c r="B61" s="31" t="s">
        <v>52</v>
      </c>
      <c r="C61" s="31">
        <v>3.6600000000000001E-2</v>
      </c>
      <c r="D61" s="44">
        <f t="shared" si="0"/>
        <v>3.4447058823529413E-3</v>
      </c>
      <c r="E61" s="34">
        <f t="shared" si="1"/>
        <v>1.2573176470588234</v>
      </c>
      <c r="F61" s="45">
        <f t="shared" si="2"/>
        <v>3.4447058823529413E-3</v>
      </c>
      <c r="G61" s="45">
        <f t="shared" si="2"/>
        <v>1.2573176470588234</v>
      </c>
      <c r="I61" t="s">
        <v>266</v>
      </c>
    </row>
    <row r="62" spans="1:9">
      <c r="A62" s="111" t="s">
        <v>55</v>
      </c>
      <c r="B62" s="31" t="s">
        <v>54</v>
      </c>
      <c r="C62" s="31">
        <v>2.3E-3</v>
      </c>
      <c r="D62" s="44">
        <f t="shared" si="0"/>
        <v>2.164705882352941E-4</v>
      </c>
      <c r="E62" s="34">
        <f t="shared" si="1"/>
        <v>7.9011764705882351E-2</v>
      </c>
      <c r="F62" s="45">
        <f t="shared" si="2"/>
        <v>2.164705882352941E-4</v>
      </c>
      <c r="G62" s="45">
        <f t="shared" si="2"/>
        <v>7.9011764705882351E-2</v>
      </c>
    </row>
    <row r="63" spans="1:9" ht="31">
      <c r="A63" s="111" t="s">
        <v>57</v>
      </c>
      <c r="B63" s="31" t="s">
        <v>56</v>
      </c>
      <c r="C63" s="31">
        <v>2.7199999999999998E-2</v>
      </c>
      <c r="D63" s="44">
        <f t="shared" si="0"/>
        <v>2.5599999999999998E-3</v>
      </c>
      <c r="E63" s="34">
        <f t="shared" si="1"/>
        <v>0.9343999999999999</v>
      </c>
      <c r="F63" s="45">
        <f t="shared" si="2"/>
        <v>2.5599999999999998E-3</v>
      </c>
      <c r="G63" s="45">
        <f t="shared" si="2"/>
        <v>0.9343999999999999</v>
      </c>
      <c r="I63" t="s">
        <v>266</v>
      </c>
    </row>
    <row r="64" spans="1:9">
      <c r="A64" s="111" t="s">
        <v>59</v>
      </c>
      <c r="B64" s="31" t="s">
        <v>58</v>
      </c>
      <c r="C64" s="31">
        <v>2.9000000000000001E-2</v>
      </c>
      <c r="D64" s="44">
        <f t="shared" si="0"/>
        <v>2.7294117647058825E-3</v>
      </c>
      <c r="E64" s="34">
        <f t="shared" si="1"/>
        <v>0.99623529411764711</v>
      </c>
      <c r="F64" s="45">
        <f t="shared" si="2"/>
        <v>2.7294117647058825E-3</v>
      </c>
      <c r="G64" s="45">
        <f t="shared" si="2"/>
        <v>0.99623529411764711</v>
      </c>
    </row>
    <row r="65" spans="1:10">
      <c r="A65" s="111" t="s">
        <v>89</v>
      </c>
      <c r="B65" s="31"/>
      <c r="C65" s="31"/>
      <c r="D65" s="47">
        <f>SUM(D38:D64)</f>
        <v>0.31588340705882356</v>
      </c>
      <c r="E65" s="47">
        <f>SUM(E38:E64)</f>
        <v>115.29744357647061</v>
      </c>
      <c r="F65" s="47">
        <f>SUM(F38:F64)</f>
        <v>0.31588340705882356</v>
      </c>
      <c r="G65" s="47">
        <f>SUM(G38:G64)</f>
        <v>115.29744357647061</v>
      </c>
      <c r="I65" s="53">
        <f>G65-G45-G47-G52-G58-G62-G64</f>
        <v>4.0557494588235468</v>
      </c>
      <c r="J65" s="48" t="s">
        <v>112</v>
      </c>
    </row>
    <row r="139" spans="1:8">
      <c r="A139" s="230" t="s">
        <v>90</v>
      </c>
      <c r="B139" s="231"/>
      <c r="C139" s="231"/>
      <c r="D139" s="231"/>
      <c r="E139" s="232"/>
    </row>
    <row r="140" spans="1:8">
      <c r="A140" s="48" t="s">
        <v>91</v>
      </c>
      <c r="B140" s="49">
        <v>1.04E-5</v>
      </c>
      <c r="C140" s="68" t="s">
        <v>92</v>
      </c>
      <c r="D140" s="51" t="s">
        <v>93</v>
      </c>
      <c r="E140" s="52" t="e">
        <f>B140*#REF!</f>
        <v>#REF!</v>
      </c>
      <c r="F140" t="s">
        <v>94</v>
      </c>
    </row>
    <row r="141" spans="1:8">
      <c r="A141" s="48" t="s">
        <v>95</v>
      </c>
      <c r="B141" s="49">
        <v>1.0206E-2</v>
      </c>
      <c r="C141" s="68" t="s">
        <v>92</v>
      </c>
      <c r="D141" s="51" t="s">
        <v>93</v>
      </c>
      <c r="E141" s="52" t="e">
        <f>B141*#REF!</f>
        <v>#REF!</v>
      </c>
      <c r="F141" t="s">
        <v>94</v>
      </c>
    </row>
    <row r="142" spans="1:8">
      <c r="A142" s="48" t="s">
        <v>96</v>
      </c>
      <c r="B142" s="49">
        <v>2.4700000000000001E-5</v>
      </c>
      <c r="C142" s="68" t="s">
        <v>92</v>
      </c>
      <c r="D142" s="51" t="s">
        <v>93</v>
      </c>
      <c r="E142" s="53" t="e">
        <f>B142*#REF!</f>
        <v>#REF!</v>
      </c>
      <c r="F142" t="s">
        <v>94</v>
      </c>
      <c r="G142" s="24" t="e">
        <f>SUM(E140:E142)</f>
        <v>#REF!</v>
      </c>
      <c r="H142" t="s">
        <v>94</v>
      </c>
    </row>
    <row r="143" spans="1:8">
      <c r="A143" s="230" t="s">
        <v>97</v>
      </c>
      <c r="B143" s="231"/>
      <c r="C143" s="231"/>
      <c r="D143" s="231"/>
      <c r="E143" s="232"/>
      <c r="G143" t="e">
        <f>G142*1.10231</f>
        <v>#REF!</v>
      </c>
      <c r="H143" t="s">
        <v>98</v>
      </c>
    </row>
    <row r="144" spans="1:8">
      <c r="A144" s="48" t="s">
        <v>12</v>
      </c>
      <c r="B144" s="49">
        <v>7.76E-4</v>
      </c>
      <c r="C144" s="68" t="s">
        <v>99</v>
      </c>
      <c r="D144" s="51" t="s">
        <v>100</v>
      </c>
      <c r="E144" s="54" t="e">
        <f>B144*#REF!*#REF!/1000000/2000</f>
        <v>#REF!</v>
      </c>
    </row>
    <row r="145" spans="1:8">
      <c r="A145" s="48" t="s">
        <v>53</v>
      </c>
      <c r="B145" s="49">
        <v>2.81E-4</v>
      </c>
      <c r="C145" s="68" t="s">
        <v>99</v>
      </c>
      <c r="D145" s="51" t="s">
        <v>100</v>
      </c>
      <c r="E145" s="55" t="e">
        <f>B145*#REF!*#REF!/1000000/2000</f>
        <v>#REF!</v>
      </c>
      <c r="G145">
        <v>2490</v>
      </c>
    </row>
    <row r="146" spans="1:8">
      <c r="A146" s="48" t="s">
        <v>101</v>
      </c>
      <c r="B146" s="49">
        <v>1.93E-4</v>
      </c>
      <c r="C146" s="68" t="s">
        <v>99</v>
      </c>
      <c r="D146" s="51" t="s">
        <v>100</v>
      </c>
      <c r="E146" s="55" t="e">
        <f>B146*#REF!*#REF!/1000000/2000</f>
        <v>#REF!</v>
      </c>
      <c r="G146">
        <f>G145*1.10231</f>
        <v>2744.7518999999998</v>
      </c>
      <c r="H146" t="s">
        <v>98</v>
      </c>
    </row>
    <row r="147" spans="1:8">
      <c r="A147" s="48" t="s">
        <v>29</v>
      </c>
      <c r="B147" s="49">
        <v>7.8899999999999993E-5</v>
      </c>
      <c r="C147" s="68" t="s">
        <v>99</v>
      </c>
      <c r="D147" s="51" t="s">
        <v>100</v>
      </c>
      <c r="E147" s="55" t="e">
        <f>B147*#REF!*#REF!/1000000/2000</f>
        <v>#REF!</v>
      </c>
    </row>
    <row r="148" spans="1:8">
      <c r="A148" s="48" t="s">
        <v>2</v>
      </c>
      <c r="B148" s="49">
        <v>2.5199999999999999E-5</v>
      </c>
      <c r="C148" s="68" t="s">
        <v>99</v>
      </c>
      <c r="D148" s="51" t="s">
        <v>100</v>
      </c>
      <c r="E148" s="56" t="e">
        <f>B148*#REF!*#REF!/1000000/2000</f>
        <v>#REF!</v>
      </c>
    </row>
    <row r="149" spans="1:8">
      <c r="A149" s="48" t="s">
        <v>4</v>
      </c>
      <c r="B149" s="49">
        <v>7.8800000000000008E-6</v>
      </c>
      <c r="C149" s="68" t="s">
        <v>99</v>
      </c>
      <c r="D149" s="51" t="s">
        <v>100</v>
      </c>
      <c r="E149" s="56" t="e">
        <f>B149*#REF!*#REF!/1000000/2000</f>
        <v>#REF!</v>
      </c>
    </row>
    <row r="150" spans="1:8">
      <c r="A150" s="48" t="s">
        <v>102</v>
      </c>
      <c r="B150" s="49">
        <v>1.2999999999999999E-4</v>
      </c>
      <c r="C150" s="68" t="s">
        <v>99</v>
      </c>
      <c r="D150" s="51" t="s">
        <v>100</v>
      </c>
      <c r="E150" s="55" t="e">
        <f>B150*#REF!*#REF!/1000000/2000</f>
        <v>#REF!</v>
      </c>
    </row>
    <row r="151" spans="1:8">
      <c r="A151" s="48" t="s">
        <v>103</v>
      </c>
      <c r="B151" s="49">
        <v>2.12E-4</v>
      </c>
      <c r="C151" s="68" t="s">
        <v>99</v>
      </c>
      <c r="D151" s="51" t="s">
        <v>100</v>
      </c>
      <c r="E151" s="55" t="e">
        <f>B151*#REF!*#REF!/1000000/2000</f>
        <v>#REF!</v>
      </c>
    </row>
    <row r="152" spans="1:8">
      <c r="A152" s="48" t="s">
        <v>104</v>
      </c>
      <c r="B152" s="49"/>
      <c r="C152" s="68"/>
      <c r="D152" s="48"/>
      <c r="E152" s="54" t="e">
        <f>SUM(E144:E151)</f>
        <v>#REF!</v>
      </c>
    </row>
    <row r="153" spans="1:8">
      <c r="B153" s="57"/>
      <c r="C153" s="3"/>
      <c r="E153" s="24"/>
    </row>
    <row r="154" spans="1:8">
      <c r="A154" t="s">
        <v>105</v>
      </c>
      <c r="B154" s="57"/>
      <c r="C154" s="3"/>
      <c r="E154" s="24"/>
    </row>
    <row r="155" spans="1:8">
      <c r="A155" t="s">
        <v>106</v>
      </c>
      <c r="B155" s="57"/>
      <c r="C155" s="3"/>
      <c r="E155" s="24"/>
    </row>
    <row r="156" spans="1:8">
      <c r="A156" t="s">
        <v>107</v>
      </c>
      <c r="B156" s="57"/>
      <c r="C156" s="3"/>
      <c r="E156" s="24"/>
    </row>
    <row r="157" spans="1:8">
      <c r="A157" t="s">
        <v>108</v>
      </c>
      <c r="B157" s="57"/>
      <c r="C157" s="3"/>
      <c r="E157" s="24"/>
    </row>
    <row r="158" spans="1:8">
      <c r="A158" t="s">
        <v>109</v>
      </c>
      <c r="B158" s="57"/>
      <c r="C158" s="3"/>
      <c r="E158" s="24"/>
    </row>
    <row r="160" spans="1:8">
      <c r="A160" s="58" t="s">
        <v>110</v>
      </c>
    </row>
    <row r="162" spans="1:7">
      <c r="A162" s="68" t="s">
        <v>77</v>
      </c>
      <c r="B162" s="68" t="s">
        <v>78</v>
      </c>
      <c r="C162" s="68" t="s">
        <v>79</v>
      </c>
      <c r="D162" s="68" t="s">
        <v>80</v>
      </c>
      <c r="E162" s="68" t="s">
        <v>81</v>
      </c>
      <c r="F162" s="59" t="s">
        <v>111</v>
      </c>
      <c r="G162" s="68" t="s">
        <v>112</v>
      </c>
    </row>
    <row r="163" spans="1:7">
      <c r="A163" s="228" t="s">
        <v>61</v>
      </c>
      <c r="B163" s="233"/>
      <c r="C163" s="233"/>
      <c r="D163" s="233"/>
      <c r="E163" s="233"/>
      <c r="F163" s="233"/>
      <c r="G163" s="229"/>
    </row>
    <row r="164" spans="1:7">
      <c r="A164" s="60" t="e">
        <f>#REF!</f>
        <v>#REF!</v>
      </c>
      <c r="B164" s="60" t="e">
        <f>#REF!</f>
        <v>#REF!</v>
      </c>
      <c r="C164" s="60" t="e">
        <f>#REF!</f>
        <v>#REF!</v>
      </c>
      <c r="D164" s="61" t="e">
        <f>#REF!</f>
        <v>#REF!</v>
      </c>
      <c r="E164" s="61" t="e">
        <f>#REF!</f>
        <v>#REF!</v>
      </c>
      <c r="F164" s="60" t="e">
        <f>SUM(E140:E142)</f>
        <v>#REF!</v>
      </c>
      <c r="G164" s="54" t="e">
        <f>E152</f>
        <v>#REF!</v>
      </c>
    </row>
    <row r="168" spans="1:7" ht="23.5">
      <c r="A168" s="62"/>
      <c r="C168" s="12"/>
      <c r="D168" s="12"/>
      <c r="E168" s="12"/>
      <c r="F168" s="13"/>
    </row>
    <row r="169" spans="1:7" ht="23.5">
      <c r="A169" s="62"/>
      <c r="C169" s="12"/>
      <c r="D169" s="12"/>
      <c r="E169" s="12"/>
      <c r="F169" s="13"/>
    </row>
    <row r="170" spans="1:7" ht="23.5">
      <c r="A170" s="62"/>
      <c r="C170" s="12"/>
      <c r="D170" s="12"/>
      <c r="E170" s="12"/>
      <c r="F170" s="13"/>
    </row>
    <row r="171" spans="1:7" ht="23.5">
      <c r="A171" s="62"/>
      <c r="C171" s="12"/>
      <c r="D171" s="12"/>
      <c r="E171" s="12"/>
      <c r="F171" s="13"/>
    </row>
    <row r="172" spans="1:7" ht="23.5">
      <c r="A172" s="62"/>
      <c r="C172" s="12"/>
      <c r="D172" s="12"/>
      <c r="E172" s="12"/>
      <c r="F172" s="13"/>
    </row>
    <row r="173" spans="1:7" ht="23.5">
      <c r="A173" s="62"/>
      <c r="C173" s="12"/>
      <c r="D173" s="12"/>
      <c r="E173" s="12"/>
      <c r="F173" s="13"/>
    </row>
    <row r="174" spans="1:7" ht="23.5">
      <c r="A174" s="62"/>
      <c r="C174" s="12"/>
      <c r="D174" s="12"/>
      <c r="E174" s="12"/>
      <c r="F174" s="13"/>
    </row>
    <row r="175" spans="1:7" ht="23.5">
      <c r="A175" s="62"/>
      <c r="B175" s="11"/>
      <c r="C175" s="12"/>
      <c r="D175" s="12"/>
      <c r="E175" s="12"/>
      <c r="F175" s="13"/>
    </row>
    <row r="177" spans="1:6">
      <c r="A177" s="58"/>
    </row>
    <row r="178" spans="1:6">
      <c r="A178" s="58"/>
    </row>
    <row r="179" spans="1:6">
      <c r="A179" t="s">
        <v>113</v>
      </c>
      <c r="B179" s="22">
        <v>624500</v>
      </c>
      <c r="C179" t="s">
        <v>114</v>
      </c>
    </row>
    <row r="180" spans="1:6">
      <c r="A180" t="s">
        <v>115</v>
      </c>
      <c r="B180" s="22">
        <v>138000</v>
      </c>
      <c r="C180" t="s">
        <v>116</v>
      </c>
    </row>
    <row r="182" spans="1:6" ht="20" customHeight="1">
      <c r="A182" s="234" t="s">
        <v>75</v>
      </c>
      <c r="B182" s="235" t="s">
        <v>117</v>
      </c>
      <c r="C182" s="235"/>
      <c r="D182" s="235"/>
      <c r="E182" s="236" t="s">
        <v>118</v>
      </c>
    </row>
    <row r="183" spans="1:6" ht="31" customHeight="1">
      <c r="A183" s="234"/>
      <c r="B183" s="68" t="s">
        <v>119</v>
      </c>
      <c r="C183" s="68" t="s">
        <v>120</v>
      </c>
      <c r="D183" s="68" t="s">
        <v>0</v>
      </c>
      <c r="E183" s="237"/>
    </row>
    <row r="184" spans="1:6" ht="17" customHeight="1">
      <c r="A184" s="238" t="s">
        <v>121</v>
      </c>
      <c r="B184" s="239"/>
      <c r="C184" s="239"/>
      <c r="D184" s="239"/>
      <c r="E184" s="240"/>
    </row>
    <row r="185" spans="1:6">
      <c r="A185" s="48" t="s">
        <v>77</v>
      </c>
      <c r="B185" s="49" t="e">
        <f>#REF!</f>
        <v>#REF!</v>
      </c>
      <c r="C185" s="68" t="s">
        <v>122</v>
      </c>
      <c r="D185" s="51" t="s">
        <v>123</v>
      </c>
      <c r="E185" s="52" t="e">
        <f>B185*$B$179/2000</f>
        <v>#REF!</v>
      </c>
    </row>
    <row r="186" spans="1:6">
      <c r="A186" s="48" t="s">
        <v>78</v>
      </c>
      <c r="B186" s="49" t="e">
        <f>#REF!</f>
        <v>#REF!</v>
      </c>
      <c r="C186" s="68" t="s">
        <v>122</v>
      </c>
      <c r="D186" s="51" t="s">
        <v>123</v>
      </c>
      <c r="E186" s="52" t="e">
        <f>B186*$B$179/2000</f>
        <v>#REF!</v>
      </c>
    </row>
    <row r="187" spans="1:6">
      <c r="A187" s="48" t="s">
        <v>79</v>
      </c>
      <c r="B187" s="49" t="e">
        <f>#REF!</f>
        <v>#REF!</v>
      </c>
      <c r="C187" s="68" t="s">
        <v>122</v>
      </c>
      <c r="D187" s="51" t="s">
        <v>123</v>
      </c>
      <c r="E187" s="53" t="e">
        <f>B187*$B$179/2000</f>
        <v>#REF!</v>
      </c>
    </row>
    <row r="188" spans="1:6">
      <c r="A188" s="48" t="s">
        <v>80</v>
      </c>
      <c r="B188" s="49" t="e">
        <f>#REF!</f>
        <v>#REF!</v>
      </c>
      <c r="C188" s="68" t="s">
        <v>122</v>
      </c>
      <c r="D188" s="51" t="s">
        <v>123</v>
      </c>
      <c r="E188" s="53" t="e">
        <f>B188*$B$179/2000</f>
        <v>#REF!</v>
      </c>
    </row>
    <row r="189" spans="1:6">
      <c r="A189" s="48" t="s">
        <v>81</v>
      </c>
      <c r="B189" s="49" t="e">
        <f>#REF!</f>
        <v>#REF!</v>
      </c>
      <c r="C189" s="68" t="s">
        <v>122</v>
      </c>
      <c r="D189" s="51" t="s">
        <v>123</v>
      </c>
      <c r="E189" s="53" t="e">
        <f>B189*$B$179/2000</f>
        <v>#REF!</v>
      </c>
    </row>
    <row r="190" spans="1:6">
      <c r="A190" s="48" t="s">
        <v>124</v>
      </c>
      <c r="B190" s="49">
        <v>8.3000000000000001E-3</v>
      </c>
      <c r="C190" s="68" t="s">
        <v>125</v>
      </c>
      <c r="D190" s="51" t="s">
        <v>126</v>
      </c>
      <c r="E190" s="55">
        <f>B190*B179/1000/2000</f>
        <v>2.5916750000000003E-3</v>
      </c>
    </row>
    <row r="191" spans="1:6">
      <c r="A191" s="230" t="s">
        <v>90</v>
      </c>
      <c r="B191" s="231"/>
      <c r="C191" s="231"/>
      <c r="D191" s="231"/>
      <c r="E191" s="232"/>
    </row>
    <row r="192" spans="1:6">
      <c r="A192" s="48" t="s">
        <v>91</v>
      </c>
      <c r="B192" s="49">
        <v>1.04E-5</v>
      </c>
      <c r="C192" s="68" t="s">
        <v>92</v>
      </c>
      <c r="D192" s="51" t="s">
        <v>93</v>
      </c>
      <c r="E192" s="52">
        <f>B192*$B$179</f>
        <v>6.4948000000000006</v>
      </c>
      <c r="F192" t="s">
        <v>94</v>
      </c>
    </row>
    <row r="193" spans="1:6">
      <c r="A193" s="48" t="s">
        <v>95</v>
      </c>
      <c r="B193" s="49">
        <v>1.0206E-2</v>
      </c>
      <c r="C193" s="68" t="s">
        <v>92</v>
      </c>
      <c r="D193" s="51" t="s">
        <v>93</v>
      </c>
      <c r="E193" s="65">
        <f>B193*$B$179</f>
        <v>6373.6469999999999</v>
      </c>
      <c r="F193" t="s">
        <v>94</v>
      </c>
    </row>
    <row r="194" spans="1:6">
      <c r="A194" s="48" t="s">
        <v>96</v>
      </c>
      <c r="B194" s="49">
        <v>2.4700000000000001E-5</v>
      </c>
      <c r="C194" s="68" t="s">
        <v>92</v>
      </c>
      <c r="D194" s="51" t="s">
        <v>93</v>
      </c>
      <c r="E194" s="52">
        <f>B194*$B$179</f>
        <v>15.42515</v>
      </c>
      <c r="F194" t="s">
        <v>94</v>
      </c>
    </row>
    <row r="195" spans="1:6">
      <c r="A195" s="230" t="s">
        <v>97</v>
      </c>
      <c r="B195" s="231"/>
      <c r="C195" s="231"/>
      <c r="D195" s="231"/>
      <c r="E195" s="232"/>
    </row>
    <row r="196" spans="1:6">
      <c r="A196" s="48" t="s">
        <v>12</v>
      </c>
      <c r="B196" s="49">
        <v>7.76E-4</v>
      </c>
      <c r="C196" s="68" t="s">
        <v>99</v>
      </c>
      <c r="D196" s="51" t="s">
        <v>100</v>
      </c>
      <c r="E196" s="54">
        <f t="shared" ref="E196:E203" si="3">B196*$B$179*$B$180/1000000/2000</f>
        <v>3.3438228E-2</v>
      </c>
    </row>
    <row r="197" spans="1:6">
      <c r="A197" s="48" t="s">
        <v>53</v>
      </c>
      <c r="B197" s="49">
        <v>2.81E-4</v>
      </c>
      <c r="C197" s="68" t="s">
        <v>99</v>
      </c>
      <c r="D197" s="51" t="s">
        <v>100</v>
      </c>
      <c r="E197" s="55">
        <f t="shared" si="3"/>
        <v>1.2108430500000001E-2</v>
      </c>
    </row>
    <row r="198" spans="1:6">
      <c r="A198" s="48" t="s">
        <v>101</v>
      </c>
      <c r="B198" s="49">
        <v>1.93E-4</v>
      </c>
      <c r="C198" s="68" t="s">
        <v>99</v>
      </c>
      <c r="D198" s="51" t="s">
        <v>100</v>
      </c>
      <c r="E198" s="55">
        <f t="shared" si="3"/>
        <v>8.3164665000000013E-3</v>
      </c>
    </row>
    <row r="199" spans="1:6">
      <c r="A199" s="48" t="s">
        <v>29</v>
      </c>
      <c r="B199" s="49">
        <v>7.8899999999999993E-5</v>
      </c>
      <c r="C199" s="68" t="s">
        <v>99</v>
      </c>
      <c r="D199" s="51" t="s">
        <v>100</v>
      </c>
      <c r="E199" s="55">
        <f t="shared" si="3"/>
        <v>3.3998404499999998E-3</v>
      </c>
    </row>
    <row r="200" spans="1:6">
      <c r="A200" s="48" t="s">
        <v>2</v>
      </c>
      <c r="B200" s="49">
        <v>2.5199999999999999E-5</v>
      </c>
      <c r="C200" s="68" t="s">
        <v>99</v>
      </c>
      <c r="D200" s="51" t="s">
        <v>100</v>
      </c>
      <c r="E200" s="56">
        <f t="shared" si="3"/>
        <v>1.0858805999999998E-3</v>
      </c>
    </row>
    <row r="201" spans="1:6">
      <c r="A201" s="48" t="s">
        <v>4</v>
      </c>
      <c r="B201" s="49">
        <v>7.8800000000000008E-6</v>
      </c>
      <c r="C201" s="68" t="s">
        <v>99</v>
      </c>
      <c r="D201" s="51" t="s">
        <v>100</v>
      </c>
      <c r="E201" s="56">
        <f t="shared" si="3"/>
        <v>3.3955314000000007E-4</v>
      </c>
    </row>
    <row r="202" spans="1:6">
      <c r="A202" s="48" t="s">
        <v>102</v>
      </c>
      <c r="B202" s="49">
        <v>1.2999999999999999E-4</v>
      </c>
      <c r="C202" s="68" t="s">
        <v>99</v>
      </c>
      <c r="D202" s="51" t="s">
        <v>100</v>
      </c>
      <c r="E202" s="55">
        <f t="shared" si="3"/>
        <v>5.6017649999999999E-3</v>
      </c>
    </row>
    <row r="203" spans="1:6">
      <c r="A203" s="48" t="s">
        <v>103</v>
      </c>
      <c r="B203" s="49">
        <v>2.12E-4</v>
      </c>
      <c r="C203" s="68" t="s">
        <v>99</v>
      </c>
      <c r="D203" s="51" t="s">
        <v>100</v>
      </c>
      <c r="E203" s="55">
        <f t="shared" si="3"/>
        <v>9.135186E-3</v>
      </c>
    </row>
    <row r="204" spans="1:6">
      <c r="A204" s="48" t="s">
        <v>104</v>
      </c>
      <c r="B204" s="49"/>
      <c r="C204" s="68"/>
      <c r="D204" s="48"/>
      <c r="E204" s="54">
        <f>SUM(E196:E203)</f>
        <v>7.3425350190000002E-2</v>
      </c>
    </row>
    <row r="205" spans="1:6">
      <c r="B205" s="57"/>
      <c r="C205" s="3"/>
      <c r="E205" s="24"/>
    </row>
    <row r="206" spans="1:6">
      <c r="A206" t="s">
        <v>105</v>
      </c>
      <c r="B206" s="57"/>
      <c r="C206" s="3"/>
      <c r="E206" s="24"/>
    </row>
    <row r="207" spans="1:6">
      <c r="A207" t="s">
        <v>106</v>
      </c>
      <c r="B207" s="57"/>
      <c r="C207" s="3"/>
      <c r="E207" s="24"/>
    </row>
    <row r="208" spans="1:6">
      <c r="A208" t="s">
        <v>107</v>
      </c>
      <c r="B208" s="57"/>
      <c r="C208" s="3"/>
      <c r="E208" s="24"/>
    </row>
    <row r="209" spans="1:7">
      <c r="A209" t="s">
        <v>108</v>
      </c>
      <c r="B209" s="57"/>
      <c r="C209" s="3"/>
      <c r="E209" s="24"/>
    </row>
    <row r="210" spans="1:7">
      <c r="B210" s="57"/>
      <c r="C210" s="3"/>
      <c r="E210" s="24"/>
    </row>
    <row r="212" spans="1:7">
      <c r="A212" s="58" t="s">
        <v>127</v>
      </c>
    </row>
    <row r="214" spans="1:7">
      <c r="A214" s="68" t="s">
        <v>77</v>
      </c>
      <c r="B214" s="68" t="s">
        <v>78</v>
      </c>
      <c r="C214" s="68" t="s">
        <v>79</v>
      </c>
      <c r="D214" s="68" t="s">
        <v>80</v>
      </c>
      <c r="E214" s="68" t="s">
        <v>81</v>
      </c>
      <c r="F214" s="59" t="s">
        <v>111</v>
      </c>
      <c r="G214" s="68" t="s">
        <v>112</v>
      </c>
    </row>
    <row r="215" spans="1:7">
      <c r="A215" s="228" t="s">
        <v>61</v>
      </c>
      <c r="B215" s="233"/>
      <c r="C215" s="233"/>
      <c r="D215" s="233"/>
      <c r="E215" s="233"/>
      <c r="F215" s="233"/>
      <c r="G215" s="229"/>
    </row>
    <row r="216" spans="1:7">
      <c r="A216" s="60" t="e">
        <f>E185</f>
        <v>#REF!</v>
      </c>
      <c r="B216" s="60" t="e">
        <f>E186</f>
        <v>#REF!</v>
      </c>
      <c r="C216" s="60" t="e">
        <f>E187</f>
        <v>#REF!</v>
      </c>
      <c r="D216" s="61" t="e">
        <f>E188</f>
        <v>#REF!</v>
      </c>
      <c r="E216" s="61" t="e">
        <f>E189</f>
        <v>#REF!</v>
      </c>
      <c r="F216" s="60">
        <f>SUM(E192:E194)</f>
        <v>6395.5669500000004</v>
      </c>
      <c r="G216" s="54">
        <f>E204</f>
        <v>7.3425350190000002E-2</v>
      </c>
    </row>
  </sheetData>
  <mergeCells count="14">
    <mergeCell ref="A143:E143"/>
    <mergeCell ref="A21:C21"/>
    <mergeCell ref="A30:C30"/>
    <mergeCell ref="A36:E36"/>
    <mergeCell ref="F36:G36"/>
    <mergeCell ref="A139:E139"/>
    <mergeCell ref="A195:E195"/>
    <mergeCell ref="A215:G215"/>
    <mergeCell ref="A163:G163"/>
    <mergeCell ref="A182:A183"/>
    <mergeCell ref="B182:D182"/>
    <mergeCell ref="E182:E183"/>
    <mergeCell ref="A184:E184"/>
    <mergeCell ref="A191:E191"/>
  </mergeCells>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EAD3E-2F08-9349-84D6-C27CA120F164}">
  <sheetPr>
    <tabColor rgb="FF00B0F0"/>
    <pageSetUpPr fitToPage="1"/>
  </sheetPr>
  <dimension ref="A3:R36"/>
  <sheetViews>
    <sheetView topLeftCell="A69" zoomScale="120" zoomScaleNormal="120" workbookViewId="0">
      <selection activeCell="B9" sqref="B9"/>
    </sheetView>
  </sheetViews>
  <sheetFormatPr defaultColWidth="10.6640625" defaultRowHeight="15.5"/>
  <cols>
    <col min="1" max="1" width="18.5" customWidth="1"/>
    <col min="2" max="2" width="13.6640625" customWidth="1"/>
    <col min="3" max="3" width="8.6640625" customWidth="1"/>
    <col min="4" max="4" width="10.6640625" customWidth="1"/>
    <col min="5" max="5" width="9.1640625" customWidth="1"/>
    <col min="6" max="6" width="9.5" customWidth="1"/>
    <col min="7" max="7" width="10" customWidth="1"/>
    <col min="8" max="8" width="9.5" customWidth="1"/>
    <col min="9" max="9" width="4.5" customWidth="1"/>
    <col min="11" max="11" width="12.6640625" customWidth="1"/>
  </cols>
  <sheetData>
    <row r="3" spans="1:3" ht="20">
      <c r="A3" s="83" t="s">
        <v>282</v>
      </c>
    </row>
    <row r="6" spans="1:3" ht="18.5">
      <c r="A6" s="1" t="s">
        <v>153</v>
      </c>
    </row>
    <row r="8" spans="1:3">
      <c r="A8" s="98" t="s">
        <v>250</v>
      </c>
      <c r="B8" s="112">
        <v>44610</v>
      </c>
      <c r="C8" s="113" t="s">
        <v>114</v>
      </c>
    </row>
    <row r="9" spans="1:3">
      <c r="A9" s="114" t="s">
        <v>197</v>
      </c>
      <c r="B9" s="115">
        <v>32354</v>
      </c>
      <c r="C9" s="116" t="s">
        <v>114</v>
      </c>
    </row>
    <row r="10" spans="1:3">
      <c r="A10" s="114" t="s">
        <v>213</v>
      </c>
      <c r="B10" s="115">
        <v>12256</v>
      </c>
      <c r="C10" s="116" t="s">
        <v>114</v>
      </c>
    </row>
    <row r="11" spans="1:3">
      <c r="A11" s="117" t="s">
        <v>214</v>
      </c>
      <c r="B11" s="118">
        <v>100</v>
      </c>
      <c r="C11" s="119" t="s">
        <v>114</v>
      </c>
    </row>
    <row r="12" spans="1:3">
      <c r="A12" t="s">
        <v>249</v>
      </c>
      <c r="B12" s="27"/>
    </row>
    <row r="13" spans="1:3">
      <c r="B13" s="27"/>
    </row>
    <row r="14" spans="1:3">
      <c r="A14" s="98" t="s">
        <v>211</v>
      </c>
      <c r="B14" s="120">
        <v>8760</v>
      </c>
      <c r="C14" s="113" t="s">
        <v>212</v>
      </c>
    </row>
    <row r="15" spans="1:3">
      <c r="A15" s="5"/>
      <c r="B15" s="118">
        <v>24</v>
      </c>
      <c r="C15" s="119" t="s">
        <v>230</v>
      </c>
    </row>
    <row r="16" spans="1:3">
      <c r="B16" s="27"/>
    </row>
    <row r="18" spans="1:18" ht="18.5">
      <c r="A18" s="1" t="s">
        <v>154</v>
      </c>
    </row>
    <row r="19" spans="1:18" ht="16" customHeight="1">
      <c r="A19" s="79"/>
      <c r="B19" s="78"/>
      <c r="C19" s="78"/>
      <c r="D19" s="78"/>
      <c r="E19" s="78"/>
      <c r="F19" s="78"/>
      <c r="G19" s="78"/>
    </row>
    <row r="20" spans="1:18">
      <c r="A20" s="79" t="s">
        <v>152</v>
      </c>
      <c r="B20" s="80"/>
      <c r="C20" s="220" t="s">
        <v>148</v>
      </c>
      <c r="D20" s="221"/>
      <c r="E20" s="221"/>
      <c r="F20" s="221"/>
      <c r="G20" s="221"/>
      <c r="H20" s="222"/>
      <c r="I20" s="8"/>
    </row>
    <row r="21" spans="1:18" ht="50" customHeight="1">
      <c r="A21" s="90" t="s">
        <v>75</v>
      </c>
      <c r="B21" s="91" t="s">
        <v>235</v>
      </c>
      <c r="C21" s="91" t="s">
        <v>292</v>
      </c>
      <c r="D21" s="91" t="s">
        <v>293</v>
      </c>
      <c r="E21" s="91" t="s">
        <v>294</v>
      </c>
      <c r="F21" s="91" t="s">
        <v>151</v>
      </c>
      <c r="G21" s="91" t="s">
        <v>149</v>
      </c>
      <c r="H21" s="91" t="s">
        <v>150</v>
      </c>
      <c r="I21" s="78"/>
    </row>
    <row r="22" spans="1:18" ht="22" customHeight="1">
      <c r="A22" s="100" t="s">
        <v>79</v>
      </c>
      <c r="B22" s="51" t="s">
        <v>197</v>
      </c>
      <c r="C22" s="214">
        <f>B9</f>
        <v>32354</v>
      </c>
      <c r="D22" s="217">
        <v>8.76</v>
      </c>
      <c r="E22" s="218">
        <v>0.02</v>
      </c>
      <c r="F22" s="142">
        <f>$B$15*G22/$B$14</f>
        <v>15.529919999999999</v>
      </c>
      <c r="G22" s="149">
        <f>C22*D22*E22</f>
        <v>5668.4207999999999</v>
      </c>
      <c r="H22" s="142">
        <f>G22/2000</f>
        <v>2.8342103999999999</v>
      </c>
      <c r="I22" s="12"/>
    </row>
    <row r="23" spans="1:18">
      <c r="A23" s="101"/>
      <c r="B23" s="128" t="s">
        <v>213</v>
      </c>
      <c r="C23" s="214">
        <f>B10</f>
        <v>12256</v>
      </c>
      <c r="D23" s="216">
        <v>11.2</v>
      </c>
      <c r="E23" s="218">
        <v>9.4399999999999998E-2</v>
      </c>
      <c r="F23" s="142">
        <f>$B$15*G23/$B$14</f>
        <v>35.501434739726022</v>
      </c>
      <c r="G23" s="149">
        <f t="shared" ref="G23:G24" si="0">C23*D23*E23</f>
        <v>12958.023679999998</v>
      </c>
      <c r="H23" s="142">
        <f>G23/2000</f>
        <v>6.4790118399999992</v>
      </c>
      <c r="I23" s="12"/>
    </row>
    <row r="24" spans="1:18">
      <c r="A24" s="102"/>
      <c r="B24" s="128" t="s">
        <v>215</v>
      </c>
      <c r="C24" s="215">
        <f>B11</f>
        <v>100</v>
      </c>
      <c r="D24" s="154">
        <v>7.47</v>
      </c>
      <c r="E24" s="218">
        <v>1</v>
      </c>
      <c r="F24" s="142">
        <f>$B$15*G24/$B$14</f>
        <v>2.0465753424657533</v>
      </c>
      <c r="G24" s="149">
        <f t="shared" si="0"/>
        <v>747</v>
      </c>
      <c r="H24" s="142">
        <f>G24/2000</f>
        <v>0.3735</v>
      </c>
      <c r="I24" s="12"/>
    </row>
    <row r="25" spans="1:18">
      <c r="A25" s="130" t="s">
        <v>295</v>
      </c>
      <c r="B25" s="6"/>
      <c r="C25" s="6"/>
      <c r="D25" s="6"/>
      <c r="E25" s="6"/>
      <c r="F25" s="96"/>
      <c r="G25" s="97"/>
      <c r="H25" s="103">
        <f>SUM(H22:H24)</f>
        <v>9.6867222399999982</v>
      </c>
      <c r="I25" s="12"/>
      <c r="J25" s="150"/>
    </row>
    <row r="26" spans="1:18">
      <c r="A26" s="94"/>
      <c r="B26" s="3"/>
      <c r="C26" s="3"/>
      <c r="D26" s="3"/>
      <c r="E26" s="3"/>
    </row>
    <row r="27" spans="1:18">
      <c r="A27" s="94"/>
      <c r="B27" s="3"/>
      <c r="C27" s="3"/>
      <c r="D27" s="3"/>
      <c r="E27" s="3"/>
    </row>
    <row r="28" spans="1:18">
      <c r="A28" s="77" t="s">
        <v>248</v>
      </c>
      <c r="B28" s="3"/>
      <c r="C28" s="3"/>
      <c r="D28" s="3"/>
      <c r="E28" s="3"/>
    </row>
    <row r="29" spans="1:18" ht="46.5">
      <c r="A29" s="90" t="s">
        <v>235</v>
      </c>
      <c r="B29" s="126" t="s">
        <v>216</v>
      </c>
      <c r="C29" s="126" t="s">
        <v>88</v>
      </c>
      <c r="D29" s="91" t="s">
        <v>236</v>
      </c>
      <c r="E29" s="91" t="s">
        <v>217</v>
      </c>
      <c r="F29" s="91" t="s">
        <v>207</v>
      </c>
      <c r="G29" s="91" t="s">
        <v>231</v>
      </c>
      <c r="H29" s="91" t="s">
        <v>208</v>
      </c>
    </row>
    <row r="30" spans="1:18" ht="29">
      <c r="A30" s="48" t="s">
        <v>197</v>
      </c>
      <c r="B30" s="201" t="s">
        <v>198</v>
      </c>
      <c r="C30" s="128" t="s">
        <v>48</v>
      </c>
      <c r="D30" s="132">
        <v>0.03</v>
      </c>
      <c r="E30" s="142">
        <f>1.05*8.34</f>
        <v>8.7569999999999997</v>
      </c>
      <c r="F30" s="53">
        <f>H30/$B$14</f>
        <v>0.97028759589041091</v>
      </c>
      <c r="G30" s="53">
        <f>F30*$B$15</f>
        <v>23.286902301369864</v>
      </c>
      <c r="H30" s="140">
        <f>D30*E30*B9</f>
        <v>8499.7193399999996</v>
      </c>
    </row>
    <row r="31" spans="1:18">
      <c r="A31" s="48" t="s">
        <v>213</v>
      </c>
      <c r="B31" s="202" t="s">
        <v>218</v>
      </c>
      <c r="C31" s="128" t="s">
        <v>49</v>
      </c>
      <c r="D31" s="132">
        <v>6.4000000000000001E-2</v>
      </c>
      <c r="E31" s="142">
        <f>1.361*8.34</f>
        <v>11.35074</v>
      </c>
      <c r="F31" s="53">
        <f>H31/$B$14</f>
        <v>1.0163628817534247</v>
      </c>
      <c r="G31" s="53">
        <f>F31*$B$15</f>
        <v>24.392709162082191</v>
      </c>
      <c r="H31" s="140">
        <f>D31*E31*B10</f>
        <v>8903.33884416</v>
      </c>
      <c r="R31" s="159"/>
    </row>
    <row r="32" spans="1:18">
      <c r="A32" s="48" t="s">
        <v>213</v>
      </c>
      <c r="B32" s="203" t="s">
        <v>219</v>
      </c>
      <c r="C32" s="137" t="s">
        <v>27</v>
      </c>
      <c r="D32" s="132">
        <v>1.7999999999999999E-2</v>
      </c>
      <c r="E32" s="142">
        <f>E31</f>
        <v>11.35074</v>
      </c>
      <c r="F32" s="53">
        <f>H32/$B$14</f>
        <v>0.28585206049315065</v>
      </c>
      <c r="G32" s="53">
        <f>F32*$B$15</f>
        <v>6.8604494518356152</v>
      </c>
      <c r="H32" s="140">
        <f>D32*E32*B10</f>
        <v>2504.0640499199999</v>
      </c>
      <c r="R32" s="27"/>
    </row>
    <row r="33" spans="1:16">
      <c r="A33" s="48" t="s">
        <v>215</v>
      </c>
      <c r="B33" s="203" t="s">
        <v>219</v>
      </c>
      <c r="C33" s="137" t="s">
        <v>27</v>
      </c>
      <c r="D33" s="132">
        <v>0.55000000000000004</v>
      </c>
      <c r="E33" s="142">
        <f>0.895*8.34</f>
        <v>7.4642999999999997</v>
      </c>
      <c r="F33" s="53">
        <f>H33/$B$14</f>
        <v>4.6864897260273972E-2</v>
      </c>
      <c r="G33" s="53">
        <f>F33*$B$15</f>
        <v>1.1247575342465752</v>
      </c>
      <c r="H33" s="140">
        <f>D33*E33*B11</f>
        <v>410.53649999999999</v>
      </c>
    </row>
    <row r="34" spans="1:16" ht="21" customHeight="1">
      <c r="C34" s="71"/>
      <c r="D34" s="99"/>
      <c r="E34" s="144" t="s">
        <v>241</v>
      </c>
      <c r="F34" s="53">
        <f>SUM(F30:F33)</f>
        <v>2.3193674353972602</v>
      </c>
      <c r="G34" s="53">
        <f>SUM(G30:G33)</f>
        <v>55.664818449534245</v>
      </c>
      <c r="H34" s="140">
        <f>SUM(H30:H33)</f>
        <v>20317.65873408</v>
      </c>
      <c r="L34" s="48">
        <v>0</v>
      </c>
      <c r="M34" s="48" t="s">
        <v>112</v>
      </c>
      <c r="P34" s="24"/>
    </row>
    <row r="35" spans="1:16">
      <c r="D35" s="89"/>
      <c r="E35" s="3"/>
    </row>
    <row r="36" spans="1:16">
      <c r="E36" s="3"/>
    </row>
  </sheetData>
  <mergeCells count="1">
    <mergeCell ref="C20:H20"/>
  </mergeCells>
  <phoneticPr fontId="5" type="noConversion"/>
  <pageMargins left="0.7" right="0.7" top="0.75" bottom="0.75" header="0.3" footer="0.3"/>
  <pageSetup scale="92" fitToHeight="0" orientation="portrait" r:id="rId1"/>
  <headerFooter>
    <oddFooter>&amp;R&amp;"Calibri Bold,Bold"&amp;16&amp;K000000Revised 1/12/22</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1F3BC-DD6F-DA4E-8A25-AE207D00C848}">
  <sheetPr>
    <tabColor rgb="FF00B0F0"/>
    <pageSetUpPr fitToPage="1"/>
  </sheetPr>
  <dimension ref="A3:X84"/>
  <sheetViews>
    <sheetView topLeftCell="A43" zoomScale="60" zoomScaleNormal="60" workbookViewId="0">
      <selection activeCell="AA31" sqref="AA31"/>
    </sheetView>
  </sheetViews>
  <sheetFormatPr defaultColWidth="10.6640625" defaultRowHeight="15.5"/>
  <cols>
    <col min="1" max="1" width="13" customWidth="1"/>
    <col min="2" max="2" width="12.83203125" customWidth="1"/>
    <col min="3" max="3" width="10.83203125" style="3"/>
    <col min="4" max="4" width="18.5" customWidth="1"/>
    <col min="5" max="6" width="13.83203125" style="3" customWidth="1"/>
    <col min="7" max="7" width="22.33203125" style="3" customWidth="1"/>
    <col min="8" max="8" width="10.83203125" style="3"/>
    <col min="9" max="9" width="10.83203125" style="3" customWidth="1"/>
    <col min="10" max="10" width="11.83203125" customWidth="1"/>
    <col min="11" max="11" width="10.83203125" customWidth="1"/>
    <col min="12" max="15" width="11.6640625" customWidth="1"/>
    <col min="16" max="16" width="10.83203125" customWidth="1"/>
    <col min="17" max="17" width="12.5" customWidth="1"/>
    <col min="18" max="18" width="10.1640625" customWidth="1"/>
    <col min="19" max="20" width="11.6640625" customWidth="1"/>
    <col min="21" max="21" width="12.1640625" customWidth="1"/>
  </cols>
  <sheetData>
    <row r="3" spans="1:3" ht="20">
      <c r="A3" s="83" t="s">
        <v>283</v>
      </c>
    </row>
    <row r="5" spans="1:3" ht="18.5">
      <c r="A5" s="85" t="s">
        <v>171</v>
      </c>
    </row>
    <row r="16" spans="1:3">
      <c r="A16" s="151" t="s">
        <v>165</v>
      </c>
      <c r="B16" s="152">
        <v>8760</v>
      </c>
      <c r="C16" s="153" t="s">
        <v>166</v>
      </c>
    </row>
    <row r="17" spans="1:24">
      <c r="A17" s="5"/>
      <c r="B17" s="7">
        <v>24</v>
      </c>
      <c r="C17" s="110" t="s">
        <v>230</v>
      </c>
    </row>
    <row r="18" spans="1:24">
      <c r="C18" s="104"/>
    </row>
    <row r="19" spans="1:24">
      <c r="A19" s="127" t="s">
        <v>248</v>
      </c>
    </row>
    <row r="20" spans="1:24" ht="60">
      <c r="A20" s="81" t="s">
        <v>184</v>
      </c>
      <c r="B20" s="82" t="s">
        <v>155</v>
      </c>
      <c r="C20" s="82" t="s">
        <v>156</v>
      </c>
      <c r="D20" s="82" t="s">
        <v>175</v>
      </c>
      <c r="E20" s="82" t="s">
        <v>191</v>
      </c>
      <c r="F20" s="82" t="s">
        <v>194</v>
      </c>
      <c r="G20" s="82" t="s">
        <v>247</v>
      </c>
      <c r="H20" s="82" t="s">
        <v>185</v>
      </c>
      <c r="I20" s="82" t="s">
        <v>189</v>
      </c>
      <c r="J20" s="82" t="s">
        <v>196</v>
      </c>
      <c r="K20" s="82" t="s">
        <v>157</v>
      </c>
      <c r="L20" s="82" t="s">
        <v>158</v>
      </c>
      <c r="M20" s="82" t="s">
        <v>159</v>
      </c>
      <c r="N20" s="82" t="s">
        <v>160</v>
      </c>
      <c r="O20" s="82" t="s">
        <v>161</v>
      </c>
      <c r="P20" s="82" t="s">
        <v>162</v>
      </c>
      <c r="Q20" s="86" t="s">
        <v>195</v>
      </c>
      <c r="R20" s="205" t="s">
        <v>291</v>
      </c>
      <c r="S20" s="82" t="s">
        <v>163</v>
      </c>
      <c r="T20" s="82" t="s">
        <v>233</v>
      </c>
      <c r="U20" s="82" t="s">
        <v>164</v>
      </c>
    </row>
    <row r="21" spans="1:24">
      <c r="A21" s="146" t="s">
        <v>172</v>
      </c>
      <c r="B21" s="48" t="s">
        <v>173</v>
      </c>
      <c r="C21" s="128" t="s">
        <v>174</v>
      </c>
      <c r="D21" s="48" t="s">
        <v>167</v>
      </c>
      <c r="E21" s="128">
        <v>3</v>
      </c>
      <c r="F21" s="128"/>
      <c r="G21" s="128" t="s">
        <v>181</v>
      </c>
      <c r="H21" s="51" t="s">
        <v>147</v>
      </c>
      <c r="I21" s="128"/>
      <c r="J21" s="48"/>
      <c r="K21" s="48"/>
      <c r="L21" s="48"/>
      <c r="M21" s="48"/>
      <c r="N21" s="48"/>
      <c r="O21" s="48"/>
      <c r="P21" s="48"/>
      <c r="Q21" s="48"/>
      <c r="R21" s="48"/>
      <c r="S21" s="48">
        <v>0</v>
      </c>
      <c r="T21" s="48">
        <v>0</v>
      </c>
      <c r="U21" s="143">
        <v>0</v>
      </c>
    </row>
    <row r="22" spans="1:24">
      <c r="A22" s="147"/>
      <c r="B22" s="48" t="s">
        <v>176</v>
      </c>
      <c r="C22" s="128" t="s">
        <v>177</v>
      </c>
      <c r="D22" s="48" t="s">
        <v>168</v>
      </c>
      <c r="E22" s="128">
        <v>0.26</v>
      </c>
      <c r="F22" s="142">
        <f>1.26*8.34</f>
        <v>10.5084</v>
      </c>
      <c r="G22" s="128" t="s">
        <v>186</v>
      </c>
      <c r="H22" s="128" t="s">
        <v>58</v>
      </c>
      <c r="I22" s="141">
        <v>0.3</v>
      </c>
      <c r="J22" s="55">
        <f t="shared" ref="J22:J30" si="0">I22*(E22*F22)/(100)</f>
        <v>8.196552000000001E-3</v>
      </c>
      <c r="K22" s="48">
        <v>4.7999999999999996E-3</v>
      </c>
      <c r="L22" s="48">
        <v>0.05</v>
      </c>
      <c r="M22" s="55">
        <f t="shared" ref="M22:M27" si="1">0.072*(L22^2)/K22</f>
        <v>3.7500000000000006E-2</v>
      </c>
      <c r="N22" s="55">
        <f t="shared" ref="N22:N27" si="2">(1.9*K22/L22)*((((1-2*M22+9*M22^2)^0.5+(M22-1))/((1+3*M22)-(1-2*M22+9*M22^2)^0.5)))^0.5</f>
        <v>3.6667962402169935E-2</v>
      </c>
      <c r="O22" s="48">
        <v>10</v>
      </c>
      <c r="P22" s="48">
        <v>59</v>
      </c>
      <c r="Q22" s="55">
        <f t="shared" ref="Q22:Q30" si="3">N22*O22*P22*60/7000</f>
        <v>0.18543512414811653</v>
      </c>
      <c r="R22" s="55">
        <f>(3*65.38)/386.11</f>
        <v>0.50798995105021882</v>
      </c>
      <c r="S22" s="56">
        <f>(Q22*J22/(8.34))*R22</f>
        <v>9.2578953749202289E-5</v>
      </c>
      <c r="T22" s="55">
        <f t="shared" ref="T22:T27" si="4">S22*$B$17</f>
        <v>2.2218948899808549E-3</v>
      </c>
      <c r="U22" s="140">
        <f t="shared" ref="U22:U27" si="5">S22*$B$16</f>
        <v>0.81099163484301207</v>
      </c>
    </row>
    <row r="23" spans="1:24">
      <c r="A23" s="147"/>
      <c r="B23" s="48" t="s">
        <v>178</v>
      </c>
      <c r="C23" s="128" t="s">
        <v>179</v>
      </c>
      <c r="D23" s="48" t="s">
        <v>170</v>
      </c>
      <c r="E23" s="128">
        <v>3.4</v>
      </c>
      <c r="F23" s="142">
        <f>1.4*8.34</f>
        <v>11.675999999999998</v>
      </c>
      <c r="G23" s="128" t="s">
        <v>193</v>
      </c>
      <c r="H23" s="128" t="s">
        <v>58</v>
      </c>
      <c r="I23" s="141">
        <v>0.2</v>
      </c>
      <c r="J23" s="55">
        <f t="shared" si="0"/>
        <v>7.939679999999999E-2</v>
      </c>
      <c r="K23" s="48">
        <v>4.7999999999999996E-3</v>
      </c>
      <c r="L23" s="48">
        <v>0.05</v>
      </c>
      <c r="M23" s="55">
        <f t="shared" si="1"/>
        <v>3.7500000000000006E-2</v>
      </c>
      <c r="N23" s="55">
        <f t="shared" si="2"/>
        <v>3.6667962402169935E-2</v>
      </c>
      <c r="O23" s="48">
        <v>10</v>
      </c>
      <c r="P23" s="48">
        <v>59</v>
      </c>
      <c r="Q23" s="55">
        <f t="shared" si="3"/>
        <v>0.18543512414811653</v>
      </c>
      <c r="R23" s="55">
        <f>(1*65.38)/259.4</f>
        <v>0.25204317656129532</v>
      </c>
      <c r="S23" s="56">
        <f t="shared" ref="S23:S27" si="6">(Q23*J23/(8.34))*R23</f>
        <v>4.4494250164985629E-4</v>
      </c>
      <c r="T23" s="55">
        <f t="shared" si="4"/>
        <v>1.0678620039596552E-2</v>
      </c>
      <c r="U23" s="140">
        <f t="shared" si="5"/>
        <v>3.897696314452741</v>
      </c>
    </row>
    <row r="24" spans="1:24">
      <c r="A24" s="147"/>
      <c r="B24" s="48" t="s">
        <v>178</v>
      </c>
      <c r="C24" s="128" t="s">
        <v>179</v>
      </c>
      <c r="D24" s="48" t="s">
        <v>170</v>
      </c>
      <c r="E24" s="128">
        <v>3.4</v>
      </c>
      <c r="F24" s="142">
        <f t="shared" ref="F24:F27" si="7">1.4*8.34</f>
        <v>11.675999999999998</v>
      </c>
      <c r="G24" s="128" t="s">
        <v>187</v>
      </c>
      <c r="H24" s="128" t="s">
        <v>43</v>
      </c>
      <c r="I24" s="141">
        <v>0.1</v>
      </c>
      <c r="J24" s="55">
        <f t="shared" si="0"/>
        <v>3.9698399999999995E-2</v>
      </c>
      <c r="K24" s="48">
        <v>4.7999999999999996E-3</v>
      </c>
      <c r="L24" s="48">
        <v>0.05</v>
      </c>
      <c r="M24" s="55">
        <f t="shared" si="1"/>
        <v>3.7500000000000006E-2</v>
      </c>
      <c r="N24" s="55">
        <f t="shared" si="2"/>
        <v>3.6667962402169935E-2</v>
      </c>
      <c r="O24" s="48">
        <v>10</v>
      </c>
      <c r="P24" s="48">
        <v>59</v>
      </c>
      <c r="Q24" s="55">
        <f t="shared" si="3"/>
        <v>0.18543512414811653</v>
      </c>
      <c r="R24" s="55">
        <f>58.69/290.8</f>
        <v>0.20182255845942226</v>
      </c>
      <c r="S24" s="56">
        <f t="shared" si="6"/>
        <v>1.781429580349521E-4</v>
      </c>
      <c r="T24" s="55">
        <f t="shared" si="4"/>
        <v>4.2754309928388504E-3</v>
      </c>
      <c r="U24" s="140">
        <f t="shared" si="5"/>
        <v>1.5605323123861803</v>
      </c>
    </row>
    <row r="25" spans="1:24">
      <c r="A25" s="147"/>
      <c r="B25" s="48" t="s">
        <v>178</v>
      </c>
      <c r="C25" s="128" t="s">
        <v>179</v>
      </c>
      <c r="D25" s="48" t="s">
        <v>170</v>
      </c>
      <c r="E25" s="128">
        <v>3.4</v>
      </c>
      <c r="F25" s="142">
        <f t="shared" si="7"/>
        <v>11.675999999999998</v>
      </c>
      <c r="G25" s="128" t="s">
        <v>188</v>
      </c>
      <c r="H25" s="128" t="s">
        <v>46</v>
      </c>
      <c r="I25" s="141">
        <v>0.05</v>
      </c>
      <c r="J25" s="55">
        <f t="shared" si="0"/>
        <v>1.9849199999999997E-2</v>
      </c>
      <c r="K25" s="48">
        <v>4.7999999999999996E-3</v>
      </c>
      <c r="L25" s="48">
        <v>0.05</v>
      </c>
      <c r="M25" s="55">
        <f t="shared" si="1"/>
        <v>3.7500000000000006E-2</v>
      </c>
      <c r="N25" s="55">
        <f t="shared" si="2"/>
        <v>3.6667962402169935E-2</v>
      </c>
      <c r="O25" s="48">
        <v>10</v>
      </c>
      <c r="P25" s="48">
        <v>59</v>
      </c>
      <c r="Q25" s="55">
        <f t="shared" si="3"/>
        <v>0.18543512414811653</v>
      </c>
      <c r="R25" s="65">
        <v>1</v>
      </c>
      <c r="S25" s="56">
        <f t="shared" si="6"/>
        <v>4.4133559547251727E-4</v>
      </c>
      <c r="T25" s="55">
        <f t="shared" si="4"/>
        <v>1.0592054291340414E-2</v>
      </c>
      <c r="U25" s="140">
        <f t="shared" si="5"/>
        <v>3.8660998163392515</v>
      </c>
    </row>
    <row r="26" spans="1:24">
      <c r="A26" s="147"/>
      <c r="B26" s="48" t="s">
        <v>178</v>
      </c>
      <c r="C26" s="128" t="s">
        <v>179</v>
      </c>
      <c r="D26" s="48" t="s">
        <v>170</v>
      </c>
      <c r="E26" s="128">
        <v>3.4</v>
      </c>
      <c r="F26" s="142">
        <f t="shared" si="7"/>
        <v>11.675999999999998</v>
      </c>
      <c r="G26" s="128" t="s">
        <v>192</v>
      </c>
      <c r="H26" s="128" t="s">
        <v>58</v>
      </c>
      <c r="I26" s="141">
        <v>0.05</v>
      </c>
      <c r="J26" s="55">
        <f t="shared" si="0"/>
        <v>1.9849199999999997E-2</v>
      </c>
      <c r="K26" s="48">
        <v>4.7999999999999996E-3</v>
      </c>
      <c r="L26" s="48">
        <v>0.05</v>
      </c>
      <c r="M26" s="55">
        <f t="shared" si="1"/>
        <v>3.7500000000000006E-2</v>
      </c>
      <c r="N26" s="55">
        <f t="shared" si="2"/>
        <v>3.6667962402169935E-2</v>
      </c>
      <c r="O26" s="48">
        <v>10</v>
      </c>
      <c r="P26" s="48">
        <v>59</v>
      </c>
      <c r="Q26" s="55">
        <f t="shared" si="3"/>
        <v>0.18543512414811653</v>
      </c>
      <c r="R26" s="55">
        <f>65.38/297.49</f>
        <v>0.21977209317960264</v>
      </c>
      <c r="S26" s="56">
        <f t="shared" si="6"/>
        <v>9.6993247611661479E-5</v>
      </c>
      <c r="T26" s="55">
        <f t="shared" si="4"/>
        <v>2.3278379426798753E-3</v>
      </c>
      <c r="U26" s="140">
        <f t="shared" si="5"/>
        <v>0.84966084907815453</v>
      </c>
      <c r="W26" s="159"/>
      <c r="X26" s="160"/>
    </row>
    <row r="27" spans="1:24">
      <c r="A27" s="147"/>
      <c r="B27" s="48" t="s">
        <v>178</v>
      </c>
      <c r="C27" s="128" t="s">
        <v>179</v>
      </c>
      <c r="D27" s="48" t="s">
        <v>170</v>
      </c>
      <c r="E27" s="128">
        <v>3.4</v>
      </c>
      <c r="F27" s="142">
        <f t="shared" si="7"/>
        <v>11.675999999999998</v>
      </c>
      <c r="G27" s="128" t="s">
        <v>190</v>
      </c>
      <c r="H27" s="128" t="s">
        <v>32</v>
      </c>
      <c r="I27" s="141">
        <v>0.01</v>
      </c>
      <c r="J27" s="55">
        <f t="shared" si="0"/>
        <v>3.9698399999999997E-3</v>
      </c>
      <c r="K27" s="48">
        <v>4.7999999999999996E-3</v>
      </c>
      <c r="L27" s="48">
        <v>0.05</v>
      </c>
      <c r="M27" s="55">
        <f t="shared" si="1"/>
        <v>3.7500000000000006E-2</v>
      </c>
      <c r="N27" s="55">
        <f t="shared" si="2"/>
        <v>3.6667962402169935E-2</v>
      </c>
      <c r="O27" s="48">
        <v>10</v>
      </c>
      <c r="P27" s="48">
        <v>59</v>
      </c>
      <c r="Q27" s="55">
        <f t="shared" si="3"/>
        <v>0.18543512414811653</v>
      </c>
      <c r="R27" s="65">
        <v>1</v>
      </c>
      <c r="S27" s="56">
        <f t="shared" si="6"/>
        <v>8.8267119094503452E-5</v>
      </c>
      <c r="T27" s="55">
        <f t="shared" si="4"/>
        <v>2.1184108582680827E-3</v>
      </c>
      <c r="U27" s="140">
        <f t="shared" si="5"/>
        <v>0.77321996326785025</v>
      </c>
      <c r="V27" s="184" t="s">
        <v>266</v>
      </c>
    </row>
    <row r="28" spans="1:24">
      <c r="A28" s="148"/>
      <c r="B28" s="48" t="s">
        <v>178</v>
      </c>
      <c r="C28" s="128" t="s">
        <v>179</v>
      </c>
      <c r="D28" s="48" t="s">
        <v>180</v>
      </c>
      <c r="E28" s="128">
        <v>4.2000000000000003E-2</v>
      </c>
      <c r="F28" s="128"/>
      <c r="G28" s="128" t="s">
        <v>181</v>
      </c>
      <c r="H28" s="51" t="s">
        <v>147</v>
      </c>
      <c r="I28" s="141"/>
      <c r="J28" s="55"/>
      <c r="K28" s="48"/>
      <c r="L28" s="48"/>
      <c r="M28" s="48"/>
      <c r="N28" s="48"/>
      <c r="O28" s="48"/>
      <c r="P28" s="48"/>
      <c r="Q28" s="55"/>
      <c r="R28" s="55"/>
      <c r="S28" s="65">
        <v>0</v>
      </c>
      <c r="T28" s="65">
        <f t="shared" ref="T28:T30" si="8">S28*$B$17</f>
        <v>0</v>
      </c>
      <c r="U28" s="65">
        <f t="shared" ref="U28:U30" si="9">S28*$B$16</f>
        <v>0</v>
      </c>
    </row>
    <row r="29" spans="1:24">
      <c r="A29" s="207"/>
      <c r="B29" s="208" t="s">
        <v>178</v>
      </c>
      <c r="C29" s="209" t="s">
        <v>179</v>
      </c>
      <c r="D29" s="208" t="s">
        <v>258</v>
      </c>
      <c r="E29" s="209">
        <v>4.2000000000000003E-2</v>
      </c>
      <c r="F29" s="209"/>
      <c r="G29" s="209" t="s">
        <v>181</v>
      </c>
      <c r="H29" s="210"/>
      <c r="I29" s="211"/>
      <c r="J29" s="212"/>
      <c r="K29" s="208"/>
      <c r="L29" s="208"/>
      <c r="M29" s="208"/>
      <c r="N29" s="208"/>
      <c r="O29" s="208"/>
      <c r="P29" s="208"/>
      <c r="Q29" s="212"/>
      <c r="R29" s="212"/>
      <c r="S29" s="213">
        <v>0</v>
      </c>
      <c r="T29" s="213">
        <f t="shared" si="8"/>
        <v>0</v>
      </c>
      <c r="U29" s="213">
        <f t="shared" si="9"/>
        <v>0</v>
      </c>
    </row>
    <row r="30" spans="1:24">
      <c r="A30" s="5"/>
      <c r="B30" s="48" t="s">
        <v>178</v>
      </c>
      <c r="C30" s="171" t="s">
        <v>179</v>
      </c>
      <c r="D30" s="48" t="s">
        <v>259</v>
      </c>
      <c r="E30" s="204">
        <v>1</v>
      </c>
      <c r="F30" s="142">
        <f>1.06*8.34</f>
        <v>8.8404000000000007</v>
      </c>
      <c r="G30" s="171" t="s">
        <v>260</v>
      </c>
      <c r="H30" s="51" t="s">
        <v>45</v>
      </c>
      <c r="I30" s="141">
        <v>0.1</v>
      </c>
      <c r="J30" s="55">
        <f t="shared" si="0"/>
        <v>8.8404000000000017E-3</v>
      </c>
      <c r="K30" s="48">
        <v>4.7999999999999996E-3</v>
      </c>
      <c r="L30" s="48">
        <v>0.05</v>
      </c>
      <c r="M30" s="55">
        <f t="shared" ref="M30" si="10">0.072*(L30^2)/K30</f>
        <v>3.7500000000000006E-2</v>
      </c>
      <c r="N30" s="55">
        <f t="shared" ref="N30" si="11">(1.9*K30/L30)*((((1-2*M30+9*M30^2)^0.5+(M30-1))/((1+3*M30)-(1-2*M30+9*M30^2)^0.5)))^0.5</f>
        <v>3.6667962402169935E-2</v>
      </c>
      <c r="O30" s="48">
        <v>10</v>
      </c>
      <c r="P30" s="48">
        <v>59</v>
      </c>
      <c r="Q30" s="55">
        <f t="shared" si="3"/>
        <v>0.18543512414811653</v>
      </c>
      <c r="R30" s="65">
        <v>1</v>
      </c>
      <c r="S30" s="56">
        <f t="shared" ref="S30" si="12">(Q30*J30/(8.34))*R30</f>
        <v>1.9656123159700356E-4</v>
      </c>
      <c r="T30" s="55">
        <f t="shared" si="8"/>
        <v>4.7174695583280853E-3</v>
      </c>
      <c r="U30" s="140">
        <f t="shared" si="9"/>
        <v>1.7218763887897512</v>
      </c>
    </row>
    <row r="31" spans="1:24">
      <c r="A31" s="5"/>
      <c r="B31" s="7"/>
      <c r="C31" s="6"/>
      <c r="D31" s="7"/>
      <c r="E31" s="6"/>
      <c r="F31" s="6"/>
      <c r="G31" s="6"/>
      <c r="H31" s="125"/>
      <c r="I31" s="141"/>
      <c r="J31" s="7"/>
      <c r="K31" s="7"/>
      <c r="L31" s="7"/>
      <c r="M31" s="7"/>
      <c r="N31" s="7"/>
      <c r="O31" s="5"/>
      <c r="P31" s="7"/>
      <c r="Q31" s="131" t="s">
        <v>238</v>
      </c>
      <c r="R31" s="131"/>
      <c r="S31" s="56">
        <f>SUM(S21:S28)</f>
        <v>1.3422603756126929E-3</v>
      </c>
      <c r="T31" s="55">
        <f>SUM(T21:T28)</f>
        <v>3.2214249014704627E-2</v>
      </c>
      <c r="U31" s="140">
        <f>SUM(U21:U28)</f>
        <v>11.75820089036719</v>
      </c>
      <c r="V31" s="140">
        <f>U27</f>
        <v>0.77321996326785025</v>
      </c>
      <c r="W31" s="48" t="s">
        <v>112</v>
      </c>
    </row>
    <row r="32" spans="1:24">
      <c r="A32" s="71"/>
      <c r="B32" s="71"/>
      <c r="C32" s="129"/>
      <c r="D32" s="71"/>
      <c r="E32" s="129"/>
      <c r="F32" s="129"/>
      <c r="G32" s="129"/>
      <c r="H32" s="121"/>
      <c r="I32" s="122"/>
      <c r="J32" s="71"/>
      <c r="K32" s="71"/>
      <c r="L32" s="71"/>
      <c r="M32" s="71"/>
      <c r="N32" s="71"/>
      <c r="O32" s="71"/>
      <c r="P32" s="71"/>
      <c r="Q32" s="144"/>
      <c r="R32" s="144"/>
      <c r="S32" s="124"/>
      <c r="T32" s="123"/>
      <c r="U32" s="145"/>
    </row>
    <row r="33" spans="1:23" ht="60">
      <c r="A33" s="81" t="s">
        <v>184</v>
      </c>
      <c r="B33" s="82" t="s">
        <v>155</v>
      </c>
      <c r="C33" s="82" t="s">
        <v>156</v>
      </c>
      <c r="D33" s="82" t="s">
        <v>175</v>
      </c>
      <c r="E33" s="82" t="s">
        <v>191</v>
      </c>
      <c r="F33" s="82" t="s">
        <v>194</v>
      </c>
      <c r="G33" s="82" t="s">
        <v>247</v>
      </c>
      <c r="H33" s="82" t="s">
        <v>185</v>
      </c>
      <c r="I33" s="82" t="s">
        <v>189</v>
      </c>
      <c r="J33" s="82" t="s">
        <v>196</v>
      </c>
      <c r="K33" s="82" t="s">
        <v>157</v>
      </c>
      <c r="L33" s="82" t="s">
        <v>158</v>
      </c>
      <c r="M33" s="82" t="s">
        <v>159</v>
      </c>
      <c r="N33" s="82" t="s">
        <v>160</v>
      </c>
      <c r="O33" s="82" t="s">
        <v>161</v>
      </c>
      <c r="P33" s="82" t="s">
        <v>162</v>
      </c>
      <c r="Q33" s="86" t="s">
        <v>195</v>
      </c>
      <c r="R33" s="205"/>
      <c r="S33" s="82" t="s">
        <v>163</v>
      </c>
      <c r="T33" s="82" t="s">
        <v>233</v>
      </c>
      <c r="U33" s="82" t="s">
        <v>164</v>
      </c>
    </row>
    <row r="34" spans="1:23">
      <c r="A34" t="s">
        <v>182</v>
      </c>
      <c r="B34" s="48" t="s">
        <v>173</v>
      </c>
      <c r="C34" s="128" t="s">
        <v>174</v>
      </c>
      <c r="D34" s="48" t="s">
        <v>167</v>
      </c>
      <c r="E34" s="128">
        <v>3</v>
      </c>
      <c r="F34" s="128"/>
      <c r="G34" s="128" t="s">
        <v>181</v>
      </c>
      <c r="H34" s="51" t="s">
        <v>147</v>
      </c>
      <c r="I34" s="141"/>
      <c r="J34" s="48"/>
      <c r="K34" s="48"/>
      <c r="L34" s="48"/>
      <c r="M34" s="48"/>
      <c r="N34" s="48"/>
      <c r="O34" s="48"/>
      <c r="P34" s="48"/>
      <c r="Q34" s="48"/>
      <c r="R34" s="48"/>
      <c r="S34" s="48">
        <v>0</v>
      </c>
      <c r="T34" s="48">
        <v>0</v>
      </c>
      <c r="U34" s="48">
        <v>0</v>
      </c>
    </row>
    <row r="35" spans="1:23">
      <c r="B35" s="48" t="s">
        <v>183</v>
      </c>
      <c r="C35" s="128" t="s">
        <v>177</v>
      </c>
      <c r="D35" s="48" t="s">
        <v>169</v>
      </c>
      <c r="E35" s="128">
        <v>4</v>
      </c>
      <c r="F35" s="154">
        <f>1.02*8.34</f>
        <v>8.5068000000000001</v>
      </c>
      <c r="G35" s="137" t="s">
        <v>251</v>
      </c>
      <c r="H35" s="137" t="s">
        <v>252</v>
      </c>
      <c r="I35" s="155">
        <v>0.01</v>
      </c>
      <c r="J35" s="55">
        <f>I35*(E35*F35)/(100)</f>
        <v>3.4027200000000001E-3</v>
      </c>
      <c r="K35" s="48">
        <v>4.7999999999999996E-3</v>
      </c>
      <c r="L35" s="48">
        <v>0.05</v>
      </c>
      <c r="M35" s="55">
        <f>0.072*(L35^2)/K35</f>
        <v>3.7500000000000006E-2</v>
      </c>
      <c r="N35" s="55">
        <f>(1.9*K35/L35)*((((1-2*M35+9*M35^2)^0.5+(M35-1))/((1+3*M35)-(1-2*M35+9*M35^2)^0.5)))^0.5</f>
        <v>3.6667962402169935E-2</v>
      </c>
      <c r="O35" s="156">
        <v>10</v>
      </c>
      <c r="P35" s="156">
        <v>59</v>
      </c>
      <c r="Q35" s="55">
        <f>N35*O35*P35*60/7000</f>
        <v>0.18543512414811653</v>
      </c>
      <c r="R35" s="55"/>
      <c r="S35" s="56">
        <f>Q35*J35/(8.34)</f>
        <v>7.565753065243154E-5</v>
      </c>
      <c r="T35" s="55">
        <f>S35*$B$17</f>
        <v>1.8157807356583571E-3</v>
      </c>
      <c r="U35" s="140">
        <f>S35*$B$16</f>
        <v>0.66275996851530028</v>
      </c>
      <c r="V35" s="48">
        <v>0</v>
      </c>
      <c r="W35" s="48" t="s">
        <v>112</v>
      </c>
    </row>
    <row r="36" spans="1:23">
      <c r="I36" s="84"/>
    </row>
    <row r="37" spans="1:23">
      <c r="I37" s="84"/>
    </row>
    <row r="51" spans="1:6" ht="18.5">
      <c r="A51" s="85" t="s">
        <v>245</v>
      </c>
      <c r="B51" s="58"/>
      <c r="F51" s="92"/>
    </row>
    <row r="52" spans="1:6" ht="18.5">
      <c r="A52" s="85"/>
      <c r="B52" s="58"/>
    </row>
    <row r="53" spans="1:6" ht="18.5">
      <c r="A53" s="85"/>
      <c r="B53" s="58"/>
    </row>
    <row r="54" spans="1:6">
      <c r="A54" s="105" t="s">
        <v>211</v>
      </c>
      <c r="B54" s="106">
        <v>8760</v>
      </c>
      <c r="C54" s="107" t="s">
        <v>212</v>
      </c>
    </row>
    <row r="55" spans="1:6">
      <c r="A55" s="108"/>
      <c r="B55" s="109">
        <v>24</v>
      </c>
      <c r="C55" s="110" t="s">
        <v>230</v>
      </c>
    </row>
    <row r="56" spans="1:6">
      <c r="A56" s="87"/>
      <c r="B56" s="58"/>
    </row>
    <row r="57" spans="1:6">
      <c r="A57" s="87" t="s">
        <v>220</v>
      </c>
      <c r="B57" s="58"/>
    </row>
    <row r="58" spans="1:6">
      <c r="A58" s="87"/>
      <c r="B58" s="58"/>
    </row>
    <row r="59" spans="1:6" ht="18.5">
      <c r="A59" s="87"/>
      <c r="B59" s="1" t="s">
        <v>228</v>
      </c>
      <c r="C59" s="2"/>
      <c r="D59" s="1"/>
    </row>
    <row r="60" spans="1:6">
      <c r="A60" s="87"/>
      <c r="B60" s="75"/>
      <c r="C60" s="95"/>
      <c r="D60" s="75"/>
    </row>
    <row r="61" spans="1:6">
      <c r="A61" s="87" t="s">
        <v>229</v>
      </c>
      <c r="B61" s="58"/>
    </row>
    <row r="62" spans="1:6">
      <c r="A62" s="87"/>
      <c r="B62" s="73" t="s">
        <v>221</v>
      </c>
    </row>
    <row r="63" spans="1:6">
      <c r="A63" s="87"/>
      <c r="B63" s="73" t="s">
        <v>222</v>
      </c>
    </row>
    <row r="64" spans="1:6" ht="18.5">
      <c r="A64" s="87"/>
      <c r="B64" s="73" t="s">
        <v>223</v>
      </c>
    </row>
    <row r="65" spans="1:21">
      <c r="A65" s="87"/>
      <c r="B65" s="73" t="s">
        <v>224</v>
      </c>
    </row>
    <row r="66" spans="1:21">
      <c r="A66" s="87"/>
      <c r="B66" s="73" t="s">
        <v>225</v>
      </c>
    </row>
    <row r="67" spans="1:21" ht="18.5">
      <c r="A67" s="85"/>
      <c r="B67" s="73" t="s">
        <v>243</v>
      </c>
    </row>
    <row r="68" spans="1:21" ht="18.5">
      <c r="A68" s="85"/>
      <c r="B68" s="73" t="s">
        <v>226</v>
      </c>
    </row>
    <row r="69" spans="1:21" ht="18.5">
      <c r="A69" s="85"/>
      <c r="B69" s="73" t="s">
        <v>227</v>
      </c>
    </row>
    <row r="70" spans="1:21" ht="18.5">
      <c r="A70" s="85"/>
      <c r="B70" s="73"/>
    </row>
    <row r="71" spans="1:21">
      <c r="A71" s="127" t="s">
        <v>248</v>
      </c>
      <c r="D71" s="3"/>
    </row>
    <row r="72" spans="1:21" ht="46.5">
      <c r="A72" s="248" t="s">
        <v>246</v>
      </c>
      <c r="B72" s="249"/>
      <c r="C72" s="248" t="s">
        <v>242</v>
      </c>
      <c r="D72" s="249"/>
      <c r="E72" s="74" t="s">
        <v>88</v>
      </c>
      <c r="F72" s="88" t="s">
        <v>234</v>
      </c>
      <c r="G72" s="88" t="s">
        <v>199</v>
      </c>
      <c r="H72" s="88" t="s">
        <v>205</v>
      </c>
      <c r="I72" s="74" t="s">
        <v>200</v>
      </c>
      <c r="J72" s="88" t="s">
        <v>202</v>
      </c>
      <c r="K72" s="88" t="s">
        <v>244</v>
      </c>
      <c r="L72" s="88" t="s">
        <v>201</v>
      </c>
      <c r="M72" s="88" t="s">
        <v>203</v>
      </c>
      <c r="N72" s="88" t="s">
        <v>206</v>
      </c>
      <c r="O72" s="88" t="s">
        <v>209</v>
      </c>
      <c r="P72" s="88" t="s">
        <v>232</v>
      </c>
      <c r="Q72" s="88" t="s">
        <v>210</v>
      </c>
      <c r="R72" s="9"/>
      <c r="U72" s="72"/>
    </row>
    <row r="73" spans="1:21" ht="34" customHeight="1">
      <c r="A73" s="235" t="s">
        <v>197</v>
      </c>
      <c r="B73" s="235"/>
      <c r="C73" s="250" t="s">
        <v>198</v>
      </c>
      <c r="D73" s="250"/>
      <c r="E73" s="128" t="s">
        <v>48</v>
      </c>
      <c r="F73" s="132">
        <v>0.03</v>
      </c>
      <c r="G73" s="128">
        <v>90.12</v>
      </c>
      <c r="H73" s="88">
        <v>1.7</v>
      </c>
      <c r="I73" s="133">
        <f>0.00438*(H73^0.78)*((18/G73)^0.333)</f>
        <v>3.8750254522776067E-3</v>
      </c>
      <c r="J73" s="88">
        <v>65</v>
      </c>
      <c r="K73" s="134">
        <v>0.24199999999999999</v>
      </c>
      <c r="L73" s="135">
        <v>10.73</v>
      </c>
      <c r="M73" s="134">
        <f>85+459.67</f>
        <v>544.67000000000007</v>
      </c>
      <c r="N73" s="134">
        <f>F73*(G73*I73*J73*K73)/(L73*M73)</f>
        <v>2.8197625776671144E-5</v>
      </c>
      <c r="O73" s="136">
        <f>N73*3600</f>
        <v>0.10151145279601612</v>
      </c>
      <c r="P73" s="136">
        <f>O73*$B$55</f>
        <v>2.4362748671043866</v>
      </c>
      <c r="Q73" s="136">
        <f>O73*$B$54</f>
        <v>889.24032649310118</v>
      </c>
      <c r="R73" s="206"/>
      <c r="U73" s="72"/>
    </row>
    <row r="74" spans="1:21">
      <c r="A74" s="235" t="s">
        <v>204</v>
      </c>
      <c r="B74" s="235"/>
      <c r="C74" s="235" t="s">
        <v>237</v>
      </c>
      <c r="D74" s="235"/>
      <c r="E74" s="128" t="s">
        <v>49</v>
      </c>
      <c r="F74" s="132">
        <v>6.4000000000000001E-2</v>
      </c>
      <c r="G74" s="128">
        <v>74.12</v>
      </c>
      <c r="H74" s="88">
        <v>1.7</v>
      </c>
      <c r="I74" s="133">
        <f>0.00438*(H74^0.78)*((18/G74)^0.333)</f>
        <v>4.1356285199980625E-3</v>
      </c>
      <c r="J74" s="88">
        <v>65</v>
      </c>
      <c r="K74" s="48">
        <v>0.35399999999999998</v>
      </c>
      <c r="L74" s="135">
        <v>10.73</v>
      </c>
      <c r="M74" s="134">
        <f>85+459.67</f>
        <v>544.67000000000007</v>
      </c>
      <c r="N74" s="134">
        <f>F74*(G74*I74*J74*K74)/(L74*M74)</f>
        <v>7.7239658975446527E-5</v>
      </c>
      <c r="O74" s="136">
        <f>N74*3600</f>
        <v>0.27806277231160748</v>
      </c>
      <c r="P74" s="136">
        <f>O74*$B$55</f>
        <v>6.6735065354785794</v>
      </c>
      <c r="Q74" s="136">
        <f>O74*$B$54</f>
        <v>2435.8298854496816</v>
      </c>
      <c r="R74" s="206"/>
    </row>
    <row r="75" spans="1:21">
      <c r="A75" s="235" t="s">
        <v>204</v>
      </c>
      <c r="B75" s="235"/>
      <c r="C75" s="247" t="s">
        <v>219</v>
      </c>
      <c r="D75" s="247"/>
      <c r="E75" s="137" t="s">
        <v>27</v>
      </c>
      <c r="F75" s="132">
        <v>1.7999999999999999E-2</v>
      </c>
      <c r="G75" s="128">
        <v>118.17</v>
      </c>
      <c r="H75" s="88">
        <v>1.7</v>
      </c>
      <c r="I75" s="133">
        <f>0.00438*(H75^0.78)*((18/G75)^0.333)</f>
        <v>3.5406671687417861E-3</v>
      </c>
      <c r="J75" s="88">
        <v>65</v>
      </c>
      <c r="K75" s="48">
        <v>1.7000000000000001E-2</v>
      </c>
      <c r="L75" s="135">
        <v>10.73</v>
      </c>
      <c r="M75" s="134">
        <f>85+459.67</f>
        <v>544.67000000000007</v>
      </c>
      <c r="N75" s="134">
        <f>F75*(G75*I75*J75*K75)/(L75*M75)</f>
        <v>1.423947394616416E-6</v>
      </c>
      <c r="O75" s="138">
        <f>N75*3600</f>
        <v>5.1262106206190977E-3</v>
      </c>
      <c r="P75" s="136">
        <f>O75*$B$55</f>
        <v>0.12302905489485835</v>
      </c>
      <c r="Q75" s="136">
        <f>O75*$B$54</f>
        <v>44.905605036623299</v>
      </c>
      <c r="R75" s="206"/>
      <c r="T75" s="159"/>
    </row>
    <row r="76" spans="1:21">
      <c r="A76" s="235" t="s">
        <v>214</v>
      </c>
      <c r="B76" s="235"/>
      <c r="C76" s="247" t="s">
        <v>219</v>
      </c>
      <c r="D76" s="247"/>
      <c r="E76" s="137" t="s">
        <v>27</v>
      </c>
      <c r="F76" s="132">
        <f>'3Coating Oven (CO1)'!D33</f>
        <v>0.55000000000000004</v>
      </c>
      <c r="G76" s="235" t="s">
        <v>239</v>
      </c>
      <c r="H76" s="235"/>
      <c r="I76" s="235"/>
      <c r="J76" s="235"/>
      <c r="K76" s="235"/>
      <c r="L76" s="235"/>
      <c r="M76" s="235"/>
      <c r="N76" s="235"/>
      <c r="O76" s="139">
        <f>'3Coating Oven (CO1)'!F33</f>
        <v>4.6864897260273972E-2</v>
      </c>
      <c r="P76" s="136">
        <f>'3Coating Oven (CO1)'!G33</f>
        <v>1.1247575342465752</v>
      </c>
      <c r="Q76" s="136">
        <f>'3Coating Oven (CO1)'!H33</f>
        <v>410.53649999999999</v>
      </c>
      <c r="R76" s="206"/>
    </row>
    <row r="77" spans="1:21" ht="22" customHeight="1">
      <c r="A77" s="5"/>
      <c r="B77" s="7"/>
      <c r="C77" s="6"/>
      <c r="D77" s="7"/>
      <c r="E77" s="6"/>
      <c r="F77" s="6"/>
      <c r="G77" s="6"/>
      <c r="H77" s="6"/>
      <c r="I77" s="6"/>
      <c r="J77" s="7"/>
      <c r="K77" s="7"/>
      <c r="L77" s="7"/>
      <c r="M77" s="5"/>
      <c r="N77" s="131" t="s">
        <v>240</v>
      </c>
      <c r="O77" s="140">
        <f>SUM(O73:O76)</f>
        <v>0.43156533298851668</v>
      </c>
      <c r="P77" s="140">
        <f>SUM(P73:P76)</f>
        <v>10.3575679917244</v>
      </c>
      <c r="Q77" s="140">
        <f>SUM(Q73:Q76)</f>
        <v>3780.5123169794065</v>
      </c>
      <c r="R77" s="145"/>
      <c r="S77" s="71"/>
      <c r="T77" s="71"/>
    </row>
    <row r="78" spans="1:21">
      <c r="P78" s="93"/>
    </row>
    <row r="79" spans="1:21">
      <c r="P79" s="93"/>
    </row>
    <row r="80" spans="1:21">
      <c r="A80" t="s">
        <v>296</v>
      </c>
    </row>
    <row r="82" spans="1:8">
      <c r="A82" t="s">
        <v>198</v>
      </c>
      <c r="C82" s="219" t="s">
        <v>297</v>
      </c>
      <c r="H82" s="104" t="s">
        <v>298</v>
      </c>
    </row>
    <row r="83" spans="1:8">
      <c r="A83" t="s">
        <v>237</v>
      </c>
      <c r="C83" s="219" t="s">
        <v>300</v>
      </c>
      <c r="H83" s="104" t="s">
        <v>299</v>
      </c>
    </row>
    <row r="84" spans="1:8">
      <c r="A84" t="s">
        <v>301</v>
      </c>
      <c r="C84" s="219" t="s">
        <v>302</v>
      </c>
      <c r="H84" s="104" t="s">
        <v>303</v>
      </c>
    </row>
  </sheetData>
  <mergeCells count="11">
    <mergeCell ref="C74:D74"/>
    <mergeCell ref="C75:D75"/>
    <mergeCell ref="C76:D76"/>
    <mergeCell ref="G76:N76"/>
    <mergeCell ref="A72:B72"/>
    <mergeCell ref="A73:B73"/>
    <mergeCell ref="A74:B74"/>
    <mergeCell ref="A75:B75"/>
    <mergeCell ref="A76:B76"/>
    <mergeCell ref="C72:D72"/>
    <mergeCell ref="C73:D73"/>
  </mergeCells>
  <phoneticPr fontId="5" type="noConversion"/>
  <hyperlinks>
    <hyperlink ref="C82" r:id="rId1" location="section=Vapor-Pressure" xr:uid="{EF99D584-D5FD-DA40-B14C-0EF7FB91AFCB}"/>
    <hyperlink ref="C83" r:id="rId2" location="section=Vapor-Pressure" xr:uid="{CE8A9C9E-D9B3-1D4F-B56C-EB61EF750ECA}"/>
    <hyperlink ref="C84" r:id="rId3" location="section=Vapor-Pressure" xr:uid="{63303103-C331-2742-9018-89D56C3DB69E}"/>
  </hyperlinks>
  <pageMargins left="0.7" right="0.7" top="0.75" bottom="0.75" header="0.3" footer="0.3"/>
  <pageSetup paperSize="3" scale="83" fitToHeight="2" orientation="landscape" r:id="rId4"/>
  <headerFooter>
    <oddFooter>&amp;R&amp;"Calibri Bold,Bold"&amp;16&amp;K000000Revised 1/12/22</oddFooter>
  </headerFooter>
  <drawing r:id="rId5"/>
  <legacyDrawing r:id="rId6"/>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39176-6A45-8F41-9554-B409D346E277}">
  <sheetPr>
    <tabColor rgb="FFFFC000"/>
    <pageSetUpPr fitToPage="1"/>
  </sheetPr>
  <dimension ref="A1:L179"/>
  <sheetViews>
    <sheetView zoomScale="94" zoomScaleNormal="94" workbookViewId="0">
      <selection activeCell="P27" sqref="P27"/>
    </sheetView>
  </sheetViews>
  <sheetFormatPr defaultColWidth="11" defaultRowHeight="15.5"/>
  <cols>
    <col min="1" max="1" width="28.5" customWidth="1"/>
    <col min="2" max="2" width="15.83203125" customWidth="1"/>
    <col min="3" max="3" width="12" customWidth="1"/>
    <col min="4" max="4" width="13.6640625" customWidth="1"/>
    <col min="5" max="11" width="9.6640625" customWidth="1"/>
    <col min="14" max="14" width="12.6640625" customWidth="1"/>
    <col min="15" max="15" width="14" customWidth="1"/>
  </cols>
  <sheetData>
    <row r="1" spans="1:12" ht="21">
      <c r="A1" s="10"/>
      <c r="B1" s="11"/>
      <c r="C1" s="12"/>
      <c r="D1" s="12"/>
      <c r="E1" s="12"/>
      <c r="F1" s="12"/>
      <c r="G1" s="13"/>
    </row>
    <row r="3" spans="1:12">
      <c r="A3" s="14"/>
    </row>
    <row r="4" spans="1:12" ht="18">
      <c r="A4" s="15" t="s">
        <v>284</v>
      </c>
    </row>
    <row r="6" spans="1:12" s="20" customFormat="1">
      <c r="A6" s="16" t="s">
        <v>135</v>
      </c>
      <c r="B6" s="17"/>
      <c r="C6" s="18"/>
      <c r="D6" s="18"/>
      <c r="E6" s="19"/>
      <c r="G6"/>
      <c r="H6"/>
      <c r="I6"/>
      <c r="J6"/>
      <c r="K6"/>
      <c r="L6"/>
    </row>
    <row r="7" spans="1:12" s="20" customFormat="1">
      <c r="A7" s="18" t="s">
        <v>136</v>
      </c>
      <c r="B7" s="21" t="s">
        <v>137</v>
      </c>
      <c r="C7" s="18" t="s">
        <v>138</v>
      </c>
      <c r="D7" s="18"/>
      <c r="E7" s="19"/>
      <c r="G7"/>
      <c r="H7"/>
      <c r="I7"/>
      <c r="J7"/>
      <c r="K7"/>
      <c r="L7"/>
    </row>
    <row r="8" spans="1:12">
      <c r="A8" s="18" t="s">
        <v>139</v>
      </c>
      <c r="B8" s="70" t="s">
        <v>140</v>
      </c>
      <c r="K8" s="162"/>
    </row>
    <row r="9" spans="1:12">
      <c r="A9" s="18" t="s">
        <v>141</v>
      </c>
      <c r="B9" s="22">
        <v>48000</v>
      </c>
      <c r="C9" t="s">
        <v>60</v>
      </c>
      <c r="K9" s="162"/>
    </row>
    <row r="10" spans="1:12">
      <c r="A10" s="18" t="s">
        <v>142</v>
      </c>
      <c r="B10" s="17">
        <f>B9/250 *1.5</f>
        <v>288</v>
      </c>
      <c r="C10" t="s">
        <v>146</v>
      </c>
      <c r="G10" s="66"/>
      <c r="K10" s="162"/>
    </row>
    <row r="11" spans="1:12">
      <c r="A11" s="18"/>
      <c r="B11" s="17"/>
      <c r="G11" s="66"/>
      <c r="K11" s="162"/>
    </row>
    <row r="12" spans="1:12" ht="31">
      <c r="A12" s="164" t="s">
        <v>253</v>
      </c>
      <c r="B12" s="163">
        <v>0.94</v>
      </c>
      <c r="C12" t="s">
        <v>257</v>
      </c>
      <c r="G12" s="66"/>
      <c r="K12" s="162"/>
    </row>
    <row r="13" spans="1:12">
      <c r="A13" s="18"/>
      <c r="B13" s="22"/>
      <c r="K13" s="162"/>
    </row>
    <row r="14" spans="1:12" ht="15.75" customHeight="1">
      <c r="A14" s="18"/>
      <c r="B14" s="24"/>
      <c r="E14" s="28"/>
      <c r="K14" s="162"/>
    </row>
    <row r="15" spans="1:12" ht="18" customHeight="1">
      <c r="A15" s="251" t="s">
        <v>121</v>
      </c>
      <c r="B15" s="252"/>
      <c r="C15" s="252"/>
      <c r="D15" s="253"/>
      <c r="K15" s="162"/>
    </row>
    <row r="16" spans="1:12" ht="47" customHeight="1">
      <c r="A16" s="29" t="s">
        <v>75</v>
      </c>
      <c r="B16" s="165" t="s">
        <v>255</v>
      </c>
      <c r="C16" s="158" t="s">
        <v>254</v>
      </c>
      <c r="D16" s="167" t="s">
        <v>130</v>
      </c>
    </row>
    <row r="17" spans="1:10" ht="15.75" customHeight="1">
      <c r="A17" s="31" t="s">
        <v>143</v>
      </c>
      <c r="B17" s="166">
        <v>5.2</v>
      </c>
      <c r="C17" s="48">
        <f>B17*(1-B12)</f>
        <v>0.31200000000000028</v>
      </c>
      <c r="D17" s="168">
        <f>C17*B9/1000/2000</f>
        <v>7.4880000000000068E-3</v>
      </c>
    </row>
    <row r="18" spans="1:10">
      <c r="A18" s="35" t="s">
        <v>144</v>
      </c>
      <c r="B18" s="36"/>
      <c r="C18" s="161"/>
      <c r="D18" s="161"/>
    </row>
    <row r="19" spans="1:10">
      <c r="A19" s="38"/>
      <c r="B19" s="38"/>
      <c r="C19" s="39"/>
      <c r="D19" s="161"/>
    </row>
    <row r="20" spans="1:10">
      <c r="C20" s="26"/>
      <c r="D20" s="26"/>
    </row>
    <row r="21" spans="1:10">
      <c r="C21" s="26"/>
      <c r="D21" s="26"/>
    </row>
    <row r="22" spans="1:10" ht="18" customHeight="1">
      <c r="A22" s="242" t="s">
        <v>248</v>
      </c>
      <c r="B22" s="243"/>
      <c r="C22" s="243"/>
      <c r="D22" s="243"/>
      <c r="E22" s="243"/>
      <c r="F22" s="244"/>
    </row>
    <row r="23" spans="1:10" ht="52" customHeight="1">
      <c r="A23" s="40" t="s">
        <v>75</v>
      </c>
      <c r="B23" s="40" t="s">
        <v>88</v>
      </c>
      <c r="C23" s="41" t="s">
        <v>256</v>
      </c>
      <c r="D23" s="169" t="s">
        <v>254</v>
      </c>
      <c r="E23" s="64" t="s">
        <v>132</v>
      </c>
      <c r="F23" s="64" t="s">
        <v>133</v>
      </c>
      <c r="J23" s="43"/>
    </row>
    <row r="24" spans="1:10" ht="31">
      <c r="A24" s="111" t="s">
        <v>20</v>
      </c>
      <c r="B24" s="31" t="s">
        <v>19</v>
      </c>
      <c r="C24" s="31">
        <v>1E-3</v>
      </c>
      <c r="D24" s="31">
        <f>C24*(1-$B$12)</f>
        <v>6.0000000000000056E-5</v>
      </c>
      <c r="E24" s="44">
        <f>D24*$B$10/1000</f>
        <v>1.7280000000000018E-5</v>
      </c>
      <c r="F24" s="34">
        <f>D24*$B$9/1000</f>
        <v>2.8800000000000023E-3</v>
      </c>
      <c r="H24" t="s">
        <v>266</v>
      </c>
    </row>
    <row r="25" spans="1:10">
      <c r="A25" s="31" t="s">
        <v>22</v>
      </c>
      <c r="B25" s="31" t="s">
        <v>21</v>
      </c>
      <c r="C25" s="31">
        <v>1E-3</v>
      </c>
      <c r="D25" s="31">
        <f t="shared" ref="D25:D27" si="0">C25*(1-$B$12)</f>
        <v>6.0000000000000056E-5</v>
      </c>
      <c r="E25" s="44">
        <f t="shared" ref="E25:E27" si="1">D25*$B$10/1000</f>
        <v>1.7280000000000018E-5</v>
      </c>
      <c r="F25" s="34">
        <f t="shared" ref="F25:F27" si="2">D25*$B$9/1000</f>
        <v>2.8800000000000023E-3</v>
      </c>
      <c r="H25" t="s">
        <v>266</v>
      </c>
    </row>
    <row r="26" spans="1:10">
      <c r="A26" s="31" t="s">
        <v>36</v>
      </c>
      <c r="B26" s="31" t="s">
        <v>35</v>
      </c>
      <c r="C26" s="31">
        <v>0.318</v>
      </c>
      <c r="D26" s="31">
        <f t="shared" si="0"/>
        <v>1.9080000000000017E-2</v>
      </c>
      <c r="E26" s="44">
        <f t="shared" si="1"/>
        <v>5.4950400000000049E-3</v>
      </c>
      <c r="F26" s="34">
        <f t="shared" si="2"/>
        <v>0.91584000000000088</v>
      </c>
      <c r="H26" t="s">
        <v>266</v>
      </c>
    </row>
    <row r="27" spans="1:10">
      <c r="A27" s="31" t="s">
        <v>145</v>
      </c>
      <c r="B27" s="46">
        <v>365</v>
      </c>
      <c r="C27" s="31">
        <v>1E-3</v>
      </c>
      <c r="D27" s="31">
        <f t="shared" si="0"/>
        <v>6.0000000000000056E-5</v>
      </c>
      <c r="E27" s="44">
        <f t="shared" si="1"/>
        <v>1.7280000000000018E-5</v>
      </c>
      <c r="F27" s="34">
        <f t="shared" si="2"/>
        <v>2.8800000000000023E-3</v>
      </c>
      <c r="H27" t="s">
        <v>266</v>
      </c>
    </row>
    <row r="28" spans="1:10">
      <c r="A28" s="31" t="s">
        <v>89</v>
      </c>
      <c r="B28" s="31"/>
      <c r="C28" s="31"/>
      <c r="D28" s="31"/>
      <c r="E28" s="170">
        <f>SUM(E24:E27)</f>
        <v>5.5468800000000049E-3</v>
      </c>
      <c r="F28" s="47">
        <f>SUM(F24:F27)</f>
        <v>0.92448000000000086</v>
      </c>
      <c r="H28" s="53">
        <f>F28</f>
        <v>0.92448000000000086</v>
      </c>
      <c r="I28" s="48" t="s">
        <v>112</v>
      </c>
    </row>
    <row r="102" spans="1:9">
      <c r="A102" s="230" t="s">
        <v>90</v>
      </c>
      <c r="B102" s="231"/>
      <c r="C102" s="231"/>
      <c r="D102" s="231"/>
      <c r="E102" s="231"/>
      <c r="F102" s="232"/>
    </row>
    <row r="103" spans="1:9">
      <c r="A103" s="48" t="s">
        <v>91</v>
      </c>
      <c r="B103" s="49">
        <v>1.04E-5</v>
      </c>
      <c r="C103" s="63" t="s">
        <v>92</v>
      </c>
      <c r="D103" s="157"/>
      <c r="E103" s="51" t="s">
        <v>93</v>
      </c>
      <c r="F103" s="52" t="e">
        <f>B103*#REF!</f>
        <v>#REF!</v>
      </c>
      <c r="G103" t="s">
        <v>94</v>
      </c>
    </row>
    <row r="104" spans="1:9">
      <c r="A104" s="48" t="s">
        <v>95</v>
      </c>
      <c r="B104" s="49">
        <v>1.0206E-2</v>
      </c>
      <c r="C104" s="63" t="s">
        <v>92</v>
      </c>
      <c r="D104" s="157"/>
      <c r="E104" s="51" t="s">
        <v>93</v>
      </c>
      <c r="F104" s="52" t="e">
        <f>B104*#REF!</f>
        <v>#REF!</v>
      </c>
      <c r="G104" t="s">
        <v>94</v>
      </c>
    </row>
    <row r="105" spans="1:9">
      <c r="A105" s="48" t="s">
        <v>96</v>
      </c>
      <c r="B105" s="49">
        <v>2.4700000000000001E-5</v>
      </c>
      <c r="C105" s="63" t="s">
        <v>92</v>
      </c>
      <c r="D105" s="157"/>
      <c r="E105" s="51" t="s">
        <v>93</v>
      </c>
      <c r="F105" s="53" t="e">
        <f>B105*#REF!</f>
        <v>#REF!</v>
      </c>
      <c r="G105" t="s">
        <v>94</v>
      </c>
      <c r="H105" s="24" t="e">
        <f>SUM(F103:F105)</f>
        <v>#REF!</v>
      </c>
      <c r="I105" t="s">
        <v>94</v>
      </c>
    </row>
    <row r="106" spans="1:9">
      <c r="A106" s="230" t="s">
        <v>97</v>
      </c>
      <c r="B106" s="231"/>
      <c r="C106" s="231"/>
      <c r="D106" s="231"/>
      <c r="E106" s="231"/>
      <c r="F106" s="232"/>
      <c r="H106" t="e">
        <f>H105*1.10231</f>
        <v>#REF!</v>
      </c>
      <c r="I106" t="s">
        <v>98</v>
      </c>
    </row>
    <row r="107" spans="1:9">
      <c r="A107" s="48" t="s">
        <v>12</v>
      </c>
      <c r="B107" s="49">
        <v>7.76E-4</v>
      </c>
      <c r="C107" s="63" t="s">
        <v>99</v>
      </c>
      <c r="D107" s="157"/>
      <c r="E107" s="51" t="s">
        <v>100</v>
      </c>
      <c r="F107" s="54" t="e">
        <f>B107*#REF!*#REF!/1000000/2000</f>
        <v>#REF!</v>
      </c>
    </row>
    <row r="108" spans="1:9">
      <c r="A108" s="48" t="s">
        <v>53</v>
      </c>
      <c r="B108" s="49">
        <v>2.81E-4</v>
      </c>
      <c r="C108" s="63" t="s">
        <v>99</v>
      </c>
      <c r="D108" s="157"/>
      <c r="E108" s="51" t="s">
        <v>100</v>
      </c>
      <c r="F108" s="55" t="e">
        <f>B108*#REF!*#REF!/1000000/2000</f>
        <v>#REF!</v>
      </c>
      <c r="H108">
        <v>2490</v>
      </c>
    </row>
    <row r="109" spans="1:9">
      <c r="A109" s="48" t="s">
        <v>101</v>
      </c>
      <c r="B109" s="49">
        <v>1.93E-4</v>
      </c>
      <c r="C109" s="63" t="s">
        <v>99</v>
      </c>
      <c r="D109" s="157"/>
      <c r="E109" s="51" t="s">
        <v>100</v>
      </c>
      <c r="F109" s="55" t="e">
        <f>B109*#REF!*#REF!/1000000/2000</f>
        <v>#REF!</v>
      </c>
      <c r="H109">
        <f>H108*1.10231</f>
        <v>2744.7518999999998</v>
      </c>
      <c r="I109" t="s">
        <v>98</v>
      </c>
    </row>
    <row r="110" spans="1:9">
      <c r="A110" s="48" t="s">
        <v>29</v>
      </c>
      <c r="B110" s="49">
        <v>7.8899999999999993E-5</v>
      </c>
      <c r="C110" s="63" t="s">
        <v>99</v>
      </c>
      <c r="D110" s="157"/>
      <c r="E110" s="51" t="s">
        <v>100</v>
      </c>
      <c r="F110" s="55" t="e">
        <f>B110*#REF!*#REF!/1000000/2000</f>
        <v>#REF!</v>
      </c>
    </row>
    <row r="111" spans="1:9">
      <c r="A111" s="48" t="s">
        <v>2</v>
      </c>
      <c r="B111" s="49">
        <v>2.5199999999999999E-5</v>
      </c>
      <c r="C111" s="63" t="s">
        <v>99</v>
      </c>
      <c r="D111" s="157"/>
      <c r="E111" s="51" t="s">
        <v>100</v>
      </c>
      <c r="F111" s="56" t="e">
        <f>B111*#REF!*#REF!/1000000/2000</f>
        <v>#REF!</v>
      </c>
    </row>
    <row r="112" spans="1:9">
      <c r="A112" s="48" t="s">
        <v>4</v>
      </c>
      <c r="B112" s="49">
        <v>7.8800000000000008E-6</v>
      </c>
      <c r="C112" s="63" t="s">
        <v>99</v>
      </c>
      <c r="D112" s="157"/>
      <c r="E112" s="51" t="s">
        <v>100</v>
      </c>
      <c r="F112" s="56" t="e">
        <f>B112*#REF!*#REF!/1000000/2000</f>
        <v>#REF!</v>
      </c>
    </row>
    <row r="113" spans="1:8">
      <c r="A113" s="48" t="s">
        <v>102</v>
      </c>
      <c r="B113" s="49">
        <v>1.2999999999999999E-4</v>
      </c>
      <c r="C113" s="63" t="s">
        <v>99</v>
      </c>
      <c r="D113" s="157"/>
      <c r="E113" s="51" t="s">
        <v>100</v>
      </c>
      <c r="F113" s="55" t="e">
        <f>B113*#REF!*#REF!/1000000/2000</f>
        <v>#REF!</v>
      </c>
    </row>
    <row r="114" spans="1:8">
      <c r="A114" s="48" t="s">
        <v>103</v>
      </c>
      <c r="B114" s="49">
        <v>2.12E-4</v>
      </c>
      <c r="C114" s="63" t="s">
        <v>99</v>
      </c>
      <c r="D114" s="157"/>
      <c r="E114" s="51" t="s">
        <v>100</v>
      </c>
      <c r="F114" s="55" t="e">
        <f>B114*#REF!*#REF!/1000000/2000</f>
        <v>#REF!</v>
      </c>
    </row>
    <row r="115" spans="1:8">
      <c r="A115" s="48" t="s">
        <v>104</v>
      </c>
      <c r="B115" s="49"/>
      <c r="C115" s="63"/>
      <c r="D115" s="157"/>
      <c r="E115" s="48"/>
      <c r="F115" s="54" t="e">
        <f>SUM(F107:F114)</f>
        <v>#REF!</v>
      </c>
    </row>
    <row r="116" spans="1:8">
      <c r="B116" s="57"/>
      <c r="C116" s="3"/>
      <c r="D116" s="3"/>
      <c r="F116" s="24"/>
    </row>
    <row r="117" spans="1:8">
      <c r="A117" t="s">
        <v>105</v>
      </c>
      <c r="B117" s="57"/>
      <c r="C117" s="3"/>
      <c r="D117" s="3"/>
      <c r="F117" s="24"/>
    </row>
    <row r="118" spans="1:8">
      <c r="A118" t="s">
        <v>106</v>
      </c>
      <c r="B118" s="57"/>
      <c r="C118" s="3"/>
      <c r="D118" s="3"/>
      <c r="F118" s="24"/>
    </row>
    <row r="119" spans="1:8">
      <c r="A119" t="s">
        <v>107</v>
      </c>
      <c r="B119" s="57"/>
      <c r="C119" s="3"/>
      <c r="D119" s="3"/>
      <c r="F119" s="24"/>
    </row>
    <row r="120" spans="1:8">
      <c r="A120" t="s">
        <v>108</v>
      </c>
      <c r="B120" s="57"/>
      <c r="C120" s="3"/>
      <c r="D120" s="3"/>
      <c r="F120" s="24"/>
    </row>
    <row r="121" spans="1:8">
      <c r="A121" t="s">
        <v>109</v>
      </c>
      <c r="B121" s="57"/>
      <c r="C121" s="3"/>
      <c r="D121" s="3"/>
      <c r="F121" s="24"/>
    </row>
    <row r="123" spans="1:8">
      <c r="A123" s="58" t="s">
        <v>110</v>
      </c>
    </row>
    <row r="125" spans="1:8">
      <c r="A125" s="63" t="s">
        <v>77</v>
      </c>
      <c r="B125" s="63" t="s">
        <v>78</v>
      </c>
      <c r="C125" s="63" t="s">
        <v>79</v>
      </c>
      <c r="D125" s="157"/>
      <c r="E125" s="63" t="s">
        <v>80</v>
      </c>
      <c r="F125" s="63" t="s">
        <v>81</v>
      </c>
      <c r="G125" s="59" t="s">
        <v>111</v>
      </c>
      <c r="H125" s="63" t="s">
        <v>112</v>
      </c>
    </row>
    <row r="126" spans="1:8">
      <c r="A126" s="228" t="s">
        <v>61</v>
      </c>
      <c r="B126" s="233"/>
      <c r="C126" s="233"/>
      <c r="D126" s="233"/>
      <c r="E126" s="233"/>
      <c r="F126" s="233"/>
      <c r="G126" s="233"/>
      <c r="H126" s="229"/>
    </row>
    <row r="127" spans="1:8">
      <c r="A127" s="60" t="e">
        <f>#REF!</f>
        <v>#REF!</v>
      </c>
      <c r="B127" s="60" t="e">
        <f>#REF!</f>
        <v>#REF!</v>
      </c>
      <c r="C127" s="60" t="e">
        <f>#REF!</f>
        <v>#REF!</v>
      </c>
      <c r="D127" s="60"/>
      <c r="E127" s="61" t="e">
        <f>#REF!</f>
        <v>#REF!</v>
      </c>
      <c r="F127" s="61" t="e">
        <f>#REF!</f>
        <v>#REF!</v>
      </c>
      <c r="G127" s="60" t="e">
        <f>SUM(F103:F105)</f>
        <v>#REF!</v>
      </c>
      <c r="H127" s="54" t="e">
        <f>F115</f>
        <v>#REF!</v>
      </c>
    </row>
    <row r="131" spans="1:7" ht="23.5">
      <c r="A131" s="62"/>
      <c r="C131" s="12"/>
      <c r="D131" s="12"/>
      <c r="E131" s="12"/>
      <c r="F131" s="12"/>
      <c r="G131" s="13"/>
    </row>
    <row r="132" spans="1:7" ht="23.5">
      <c r="A132" s="62"/>
      <c r="C132" s="12"/>
      <c r="D132" s="12"/>
      <c r="E132" s="12"/>
      <c r="F132" s="12"/>
      <c r="G132" s="13"/>
    </row>
    <row r="133" spans="1:7" ht="23.5">
      <c r="A133" s="62"/>
      <c r="C133" s="12"/>
      <c r="D133" s="12"/>
      <c r="E133" s="12"/>
      <c r="F133" s="12"/>
      <c r="G133" s="13"/>
    </row>
    <row r="134" spans="1:7" ht="23.5">
      <c r="A134" s="62"/>
      <c r="C134" s="12"/>
      <c r="D134" s="12"/>
      <c r="E134" s="12"/>
      <c r="F134" s="12"/>
      <c r="G134" s="13"/>
    </row>
    <row r="135" spans="1:7" ht="23.5">
      <c r="A135" s="62"/>
      <c r="C135" s="12"/>
      <c r="D135" s="12"/>
      <c r="E135" s="12"/>
      <c r="F135" s="12"/>
      <c r="G135" s="13"/>
    </row>
    <row r="136" spans="1:7" ht="23.5">
      <c r="A136" s="62"/>
      <c r="C136" s="12"/>
      <c r="D136" s="12"/>
      <c r="E136" s="12"/>
      <c r="F136" s="12"/>
      <c r="G136" s="13"/>
    </row>
    <row r="137" spans="1:7" ht="23.5">
      <c r="A137" s="62"/>
      <c r="C137" s="12"/>
      <c r="D137" s="12"/>
      <c r="E137" s="12"/>
      <c r="F137" s="12"/>
      <c r="G137" s="13"/>
    </row>
    <row r="138" spans="1:7" ht="23.5">
      <c r="A138" s="62"/>
      <c r="B138" s="11"/>
      <c r="C138" s="12"/>
      <c r="D138" s="12"/>
      <c r="E138" s="12"/>
      <c r="F138" s="12"/>
      <c r="G138" s="13"/>
    </row>
    <row r="140" spans="1:7">
      <c r="A140" s="58"/>
    </row>
    <row r="141" spans="1:7">
      <c r="A141" s="58"/>
    </row>
    <row r="142" spans="1:7">
      <c r="A142" t="s">
        <v>113</v>
      </c>
      <c r="B142" s="22">
        <v>624500</v>
      </c>
      <c r="C142" t="s">
        <v>114</v>
      </c>
    </row>
    <row r="143" spans="1:7">
      <c r="A143" t="s">
        <v>115</v>
      </c>
      <c r="B143" s="22">
        <v>138000</v>
      </c>
      <c r="C143" t="s">
        <v>116</v>
      </c>
    </row>
    <row r="145" spans="1:7" ht="20" customHeight="1">
      <c r="A145" s="234" t="s">
        <v>75</v>
      </c>
      <c r="B145" s="235" t="s">
        <v>117</v>
      </c>
      <c r="C145" s="235"/>
      <c r="D145" s="235"/>
      <c r="E145" s="235"/>
      <c r="F145" s="236" t="s">
        <v>118</v>
      </c>
    </row>
    <row r="146" spans="1:7" ht="31" customHeight="1">
      <c r="A146" s="234"/>
      <c r="B146" s="63" t="s">
        <v>119</v>
      </c>
      <c r="C146" s="63" t="s">
        <v>120</v>
      </c>
      <c r="D146" s="157"/>
      <c r="E146" s="63" t="s">
        <v>0</v>
      </c>
      <c r="F146" s="237"/>
    </row>
    <row r="147" spans="1:7" ht="17" customHeight="1">
      <c r="A147" s="238" t="s">
        <v>121</v>
      </c>
      <c r="B147" s="239"/>
      <c r="C147" s="239"/>
      <c r="D147" s="239"/>
      <c r="E147" s="239"/>
      <c r="F147" s="240"/>
    </row>
    <row r="148" spans="1:7">
      <c r="A148" s="48" t="s">
        <v>77</v>
      </c>
      <c r="B148" s="49" t="e">
        <f>#REF!</f>
        <v>#REF!</v>
      </c>
      <c r="C148" s="63" t="s">
        <v>122</v>
      </c>
      <c r="D148" s="157"/>
      <c r="E148" s="51" t="s">
        <v>123</v>
      </c>
      <c r="F148" s="52" t="e">
        <f>B148*$B$142/2000</f>
        <v>#REF!</v>
      </c>
    </row>
    <row r="149" spans="1:7">
      <c r="A149" s="48" t="s">
        <v>78</v>
      </c>
      <c r="B149" s="49" t="e">
        <f>#REF!</f>
        <v>#REF!</v>
      </c>
      <c r="C149" s="63" t="s">
        <v>122</v>
      </c>
      <c r="D149" s="157"/>
      <c r="E149" s="51" t="s">
        <v>123</v>
      </c>
      <c r="F149" s="52" t="e">
        <f>B149*$B$142/2000</f>
        <v>#REF!</v>
      </c>
    </row>
    <row r="150" spans="1:7">
      <c r="A150" s="48" t="s">
        <v>79</v>
      </c>
      <c r="B150" s="49" t="e">
        <f>#REF!</f>
        <v>#REF!</v>
      </c>
      <c r="C150" s="63" t="s">
        <v>122</v>
      </c>
      <c r="D150" s="157"/>
      <c r="E150" s="51" t="s">
        <v>123</v>
      </c>
      <c r="F150" s="53" t="e">
        <f>B150*$B$142/2000</f>
        <v>#REF!</v>
      </c>
    </row>
    <row r="151" spans="1:7">
      <c r="A151" s="48" t="s">
        <v>80</v>
      </c>
      <c r="B151" s="49" t="e">
        <f>#REF!</f>
        <v>#REF!</v>
      </c>
      <c r="C151" s="63" t="s">
        <v>122</v>
      </c>
      <c r="D151" s="157"/>
      <c r="E151" s="51" t="s">
        <v>123</v>
      </c>
      <c r="F151" s="53" t="e">
        <f>B151*$B$142/2000</f>
        <v>#REF!</v>
      </c>
    </row>
    <row r="152" spans="1:7">
      <c r="A152" s="48" t="s">
        <v>81</v>
      </c>
      <c r="B152" s="49" t="e">
        <f>#REF!</f>
        <v>#REF!</v>
      </c>
      <c r="C152" s="63" t="s">
        <v>122</v>
      </c>
      <c r="D152" s="157"/>
      <c r="E152" s="51" t="s">
        <v>123</v>
      </c>
      <c r="F152" s="53" t="e">
        <f>B152*$B$142/2000</f>
        <v>#REF!</v>
      </c>
    </row>
    <row r="153" spans="1:7">
      <c r="A153" s="48" t="s">
        <v>124</v>
      </c>
      <c r="B153" s="49">
        <v>8.3000000000000001E-3</v>
      </c>
      <c r="C153" s="63" t="s">
        <v>125</v>
      </c>
      <c r="D153" s="157"/>
      <c r="E153" s="51" t="s">
        <v>126</v>
      </c>
      <c r="F153" s="55">
        <f>B153*B142/1000/2000</f>
        <v>2.5916750000000003E-3</v>
      </c>
    </row>
    <row r="154" spans="1:7">
      <c r="A154" s="230" t="s">
        <v>90</v>
      </c>
      <c r="B154" s="231"/>
      <c r="C154" s="231"/>
      <c r="D154" s="231"/>
      <c r="E154" s="231"/>
      <c r="F154" s="232"/>
    </row>
    <row r="155" spans="1:7">
      <c r="A155" s="48" t="s">
        <v>91</v>
      </c>
      <c r="B155" s="49">
        <v>1.04E-5</v>
      </c>
      <c r="C155" s="63" t="s">
        <v>92</v>
      </c>
      <c r="D155" s="157"/>
      <c r="E155" s="51" t="s">
        <v>93</v>
      </c>
      <c r="F155" s="52">
        <f>B155*$B$142</f>
        <v>6.4948000000000006</v>
      </c>
      <c r="G155" t="s">
        <v>94</v>
      </c>
    </row>
    <row r="156" spans="1:7">
      <c r="A156" s="48" t="s">
        <v>95</v>
      </c>
      <c r="B156" s="49">
        <v>1.0206E-2</v>
      </c>
      <c r="C156" s="63" t="s">
        <v>92</v>
      </c>
      <c r="D156" s="157"/>
      <c r="E156" s="51" t="s">
        <v>93</v>
      </c>
      <c r="F156" s="65">
        <f>B156*$B$142</f>
        <v>6373.6469999999999</v>
      </c>
      <c r="G156" t="s">
        <v>94</v>
      </c>
    </row>
    <row r="157" spans="1:7">
      <c r="A157" s="48" t="s">
        <v>96</v>
      </c>
      <c r="B157" s="49">
        <v>2.4700000000000001E-5</v>
      </c>
      <c r="C157" s="63" t="s">
        <v>92</v>
      </c>
      <c r="D157" s="157"/>
      <c r="E157" s="51" t="s">
        <v>93</v>
      </c>
      <c r="F157" s="52">
        <f>B157*$B$142</f>
        <v>15.42515</v>
      </c>
      <c r="G157" t="s">
        <v>94</v>
      </c>
    </row>
    <row r="158" spans="1:7">
      <c r="A158" s="230" t="s">
        <v>97</v>
      </c>
      <c r="B158" s="231"/>
      <c r="C158" s="231"/>
      <c r="D158" s="231"/>
      <c r="E158" s="231"/>
      <c r="F158" s="232"/>
    </row>
    <row r="159" spans="1:7">
      <c r="A159" s="48" t="s">
        <v>12</v>
      </c>
      <c r="B159" s="49">
        <v>7.76E-4</v>
      </c>
      <c r="C159" s="63" t="s">
        <v>99</v>
      </c>
      <c r="D159" s="157"/>
      <c r="E159" s="51" t="s">
        <v>100</v>
      </c>
      <c r="F159" s="54">
        <f t="shared" ref="F159:F166" si="3">B159*$B$142*$B$143/1000000/2000</f>
        <v>3.3438228E-2</v>
      </c>
    </row>
    <row r="160" spans="1:7">
      <c r="A160" s="48" t="s">
        <v>53</v>
      </c>
      <c r="B160" s="49">
        <v>2.81E-4</v>
      </c>
      <c r="C160" s="63" t="s">
        <v>99</v>
      </c>
      <c r="D160" s="157"/>
      <c r="E160" s="51" t="s">
        <v>100</v>
      </c>
      <c r="F160" s="55">
        <f t="shared" si="3"/>
        <v>1.2108430500000001E-2</v>
      </c>
    </row>
    <row r="161" spans="1:6">
      <c r="A161" s="48" t="s">
        <v>101</v>
      </c>
      <c r="B161" s="49">
        <v>1.93E-4</v>
      </c>
      <c r="C161" s="63" t="s">
        <v>99</v>
      </c>
      <c r="D161" s="157"/>
      <c r="E161" s="51" t="s">
        <v>100</v>
      </c>
      <c r="F161" s="55">
        <f t="shared" si="3"/>
        <v>8.3164665000000013E-3</v>
      </c>
    </row>
    <row r="162" spans="1:6">
      <c r="A162" s="48" t="s">
        <v>29</v>
      </c>
      <c r="B162" s="49">
        <v>7.8899999999999993E-5</v>
      </c>
      <c r="C162" s="63" t="s">
        <v>99</v>
      </c>
      <c r="D162" s="157"/>
      <c r="E162" s="51" t="s">
        <v>100</v>
      </c>
      <c r="F162" s="55">
        <f t="shared" si="3"/>
        <v>3.3998404499999998E-3</v>
      </c>
    </row>
    <row r="163" spans="1:6">
      <c r="A163" s="48" t="s">
        <v>2</v>
      </c>
      <c r="B163" s="49">
        <v>2.5199999999999999E-5</v>
      </c>
      <c r="C163" s="63" t="s">
        <v>99</v>
      </c>
      <c r="D163" s="157"/>
      <c r="E163" s="51" t="s">
        <v>100</v>
      </c>
      <c r="F163" s="56">
        <f t="shared" si="3"/>
        <v>1.0858805999999998E-3</v>
      </c>
    </row>
    <row r="164" spans="1:6">
      <c r="A164" s="48" t="s">
        <v>4</v>
      </c>
      <c r="B164" s="49">
        <v>7.8800000000000008E-6</v>
      </c>
      <c r="C164" s="63" t="s">
        <v>99</v>
      </c>
      <c r="D164" s="157"/>
      <c r="E164" s="51" t="s">
        <v>100</v>
      </c>
      <c r="F164" s="56">
        <f t="shared" si="3"/>
        <v>3.3955314000000007E-4</v>
      </c>
    </row>
    <row r="165" spans="1:6">
      <c r="A165" s="48" t="s">
        <v>102</v>
      </c>
      <c r="B165" s="49">
        <v>1.2999999999999999E-4</v>
      </c>
      <c r="C165" s="63" t="s">
        <v>99</v>
      </c>
      <c r="D165" s="157"/>
      <c r="E165" s="51" t="s">
        <v>100</v>
      </c>
      <c r="F165" s="55">
        <f t="shared" si="3"/>
        <v>5.6017649999999999E-3</v>
      </c>
    </row>
    <row r="166" spans="1:6">
      <c r="A166" s="48" t="s">
        <v>103</v>
      </c>
      <c r="B166" s="49">
        <v>2.12E-4</v>
      </c>
      <c r="C166" s="63" t="s">
        <v>99</v>
      </c>
      <c r="D166" s="157"/>
      <c r="E166" s="51" t="s">
        <v>100</v>
      </c>
      <c r="F166" s="55">
        <f t="shared" si="3"/>
        <v>9.135186E-3</v>
      </c>
    </row>
    <row r="167" spans="1:6">
      <c r="A167" s="48" t="s">
        <v>104</v>
      </c>
      <c r="B167" s="49"/>
      <c r="C167" s="63"/>
      <c r="D167" s="157"/>
      <c r="E167" s="48"/>
      <c r="F167" s="54">
        <f>SUM(F159:F166)</f>
        <v>7.3425350190000002E-2</v>
      </c>
    </row>
    <row r="168" spans="1:6">
      <c r="B168" s="57"/>
      <c r="C168" s="3"/>
      <c r="D168" s="3"/>
      <c r="F168" s="24"/>
    </row>
    <row r="169" spans="1:6">
      <c r="A169" t="s">
        <v>105</v>
      </c>
      <c r="B169" s="57"/>
      <c r="C169" s="3"/>
      <c r="D169" s="3"/>
      <c r="F169" s="24"/>
    </row>
    <row r="170" spans="1:6">
      <c r="A170" t="s">
        <v>106</v>
      </c>
      <c r="B170" s="57"/>
      <c r="C170" s="3"/>
      <c r="D170" s="3"/>
      <c r="F170" s="24"/>
    </row>
    <row r="171" spans="1:6">
      <c r="A171" t="s">
        <v>107</v>
      </c>
      <c r="B171" s="57"/>
      <c r="C171" s="3"/>
      <c r="D171" s="3"/>
      <c r="F171" s="24"/>
    </row>
    <row r="172" spans="1:6">
      <c r="A172" t="s">
        <v>108</v>
      </c>
      <c r="B172" s="57"/>
      <c r="C172" s="3"/>
      <c r="D172" s="3"/>
      <c r="F172" s="24"/>
    </row>
    <row r="173" spans="1:6">
      <c r="B173" s="57"/>
      <c r="C173" s="3"/>
      <c r="D173" s="3"/>
      <c r="F173" s="24"/>
    </row>
    <row r="175" spans="1:6">
      <c r="A175" s="58" t="s">
        <v>127</v>
      </c>
    </row>
    <row r="177" spans="1:8">
      <c r="A177" s="63" t="s">
        <v>77</v>
      </c>
      <c r="B177" s="63" t="s">
        <v>78</v>
      </c>
      <c r="C177" s="63" t="s">
        <v>79</v>
      </c>
      <c r="D177" s="157"/>
      <c r="E177" s="63" t="s">
        <v>80</v>
      </c>
      <c r="F177" s="63" t="s">
        <v>81</v>
      </c>
      <c r="G177" s="59" t="s">
        <v>111</v>
      </c>
      <c r="H177" s="63" t="s">
        <v>112</v>
      </c>
    </row>
    <row r="178" spans="1:8">
      <c r="A178" s="228" t="s">
        <v>61</v>
      </c>
      <c r="B178" s="233"/>
      <c r="C178" s="233"/>
      <c r="D178" s="233"/>
      <c r="E178" s="233"/>
      <c r="F178" s="233"/>
      <c r="G178" s="233"/>
      <c r="H178" s="229"/>
    </row>
    <row r="179" spans="1:8">
      <c r="A179" s="60" t="e">
        <f>F148</f>
        <v>#REF!</v>
      </c>
      <c r="B179" s="60" t="e">
        <f>F149</f>
        <v>#REF!</v>
      </c>
      <c r="C179" s="60" t="e">
        <f>F150</f>
        <v>#REF!</v>
      </c>
      <c r="D179" s="60"/>
      <c r="E179" s="61" t="e">
        <f>F151</f>
        <v>#REF!</v>
      </c>
      <c r="F179" s="61" t="e">
        <f>F152</f>
        <v>#REF!</v>
      </c>
      <c r="G179" s="60">
        <f>SUM(F155:F157)</f>
        <v>6395.5669500000004</v>
      </c>
      <c r="H179" s="54">
        <f>F167</f>
        <v>7.3425350190000002E-2</v>
      </c>
    </row>
  </sheetData>
  <mergeCells count="12">
    <mergeCell ref="A22:F22"/>
    <mergeCell ref="A102:F102"/>
    <mergeCell ref="A106:F106"/>
    <mergeCell ref="A158:F158"/>
    <mergeCell ref="A15:D15"/>
    <mergeCell ref="A178:H178"/>
    <mergeCell ref="A126:H126"/>
    <mergeCell ref="A145:A146"/>
    <mergeCell ref="B145:E145"/>
    <mergeCell ref="F145:F146"/>
    <mergeCell ref="A147:F147"/>
    <mergeCell ref="A154:F154"/>
  </mergeCells>
  <printOptions horizontalCentered="1"/>
  <pageMargins left="0.75" right="0.75" top="1" bottom="1" header="0.5" footer="0.5"/>
  <pageSetup scale="91" orientation="portrait" horizontalDpi="4294967292" verticalDpi="4294967292" r:id="rId1"/>
  <headerFooter>
    <oddFooter>&amp;L&amp;"Calibri,Regular"&amp;K000000&amp;D</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0CABC-C940-9542-8AA1-D949AB664816}">
  <sheetPr>
    <tabColor rgb="FF008000"/>
    <pageSetUpPr fitToPage="1"/>
  </sheetPr>
  <dimension ref="A1:K216"/>
  <sheetViews>
    <sheetView topLeftCell="A18" zoomScale="84" zoomScaleNormal="84" workbookViewId="0">
      <selection activeCell="F7" sqref="F7:F11"/>
    </sheetView>
  </sheetViews>
  <sheetFormatPr defaultColWidth="11" defaultRowHeight="15.5"/>
  <cols>
    <col min="1" max="1" width="35.5" customWidth="1"/>
    <col min="2" max="2" width="15.83203125" customWidth="1"/>
    <col min="3" max="3" width="15.33203125" customWidth="1"/>
    <col min="4" max="10" width="9.6640625" customWidth="1"/>
    <col min="13" max="13" width="12.6640625" customWidth="1"/>
    <col min="14" max="14" width="14" customWidth="1"/>
  </cols>
  <sheetData>
    <row r="1" spans="1:11" ht="21">
      <c r="A1" s="10"/>
      <c r="B1" s="11"/>
      <c r="C1" s="12"/>
      <c r="D1" s="12"/>
      <c r="E1" s="12"/>
      <c r="F1" s="13"/>
    </row>
    <row r="3" spans="1:11">
      <c r="A3" s="14"/>
    </row>
    <row r="4" spans="1:11" ht="18">
      <c r="A4" s="15" t="s">
        <v>285</v>
      </c>
    </row>
    <row r="6" spans="1:11" s="20" customFormat="1">
      <c r="A6" s="16" t="s">
        <v>280</v>
      </c>
      <c r="B6" s="17">
        <v>1</v>
      </c>
      <c r="C6" s="18"/>
      <c r="D6" s="19"/>
      <c r="F6"/>
      <c r="G6"/>
      <c r="H6"/>
      <c r="I6"/>
      <c r="J6"/>
      <c r="K6"/>
    </row>
    <row r="7" spans="1:11" s="20" customFormat="1">
      <c r="A7" s="18" t="s">
        <v>62</v>
      </c>
      <c r="B7" s="21">
        <v>1.6</v>
      </c>
      <c r="C7" s="18" t="s">
        <v>63</v>
      </c>
      <c r="D7" s="19"/>
      <c r="F7" s="66"/>
      <c r="G7"/>
      <c r="H7"/>
      <c r="I7"/>
      <c r="J7"/>
      <c r="K7"/>
    </row>
    <row r="8" spans="1:11">
      <c r="A8" s="18" t="s">
        <v>64</v>
      </c>
      <c r="B8" s="22">
        <v>1020</v>
      </c>
      <c r="C8" t="s">
        <v>65</v>
      </c>
    </row>
    <row r="9" spans="1:11">
      <c r="A9" s="18" t="s">
        <v>66</v>
      </c>
      <c r="B9" s="22">
        <v>24</v>
      </c>
    </row>
    <row r="10" spans="1:11">
      <c r="A10" s="18" t="s">
        <v>67</v>
      </c>
      <c r="B10" s="17">
        <v>8760</v>
      </c>
    </row>
    <row r="11" spans="1:11">
      <c r="A11" s="18" t="s">
        <v>129</v>
      </c>
      <c r="B11" s="23">
        <v>0.04</v>
      </c>
      <c r="F11" s="66"/>
    </row>
    <row r="12" spans="1:11" ht="15.75" customHeight="1">
      <c r="A12" s="18" t="s">
        <v>68</v>
      </c>
      <c r="B12" s="24">
        <f>B6*B7*B10*B11</f>
        <v>560.64</v>
      </c>
      <c r="C12" t="s">
        <v>69</v>
      </c>
      <c r="D12" s="25"/>
    </row>
    <row r="13" spans="1:11" ht="15.75" customHeight="1">
      <c r="A13" s="18" t="s">
        <v>68</v>
      </c>
      <c r="B13" s="150">
        <f>B12/B8</f>
        <v>0.54964705882352938</v>
      </c>
      <c r="C13" t="s">
        <v>70</v>
      </c>
      <c r="D13" s="25"/>
    </row>
    <row r="14" spans="1:11">
      <c r="A14" s="18"/>
      <c r="B14" s="22"/>
    </row>
    <row r="15" spans="1:11" ht="15.75" customHeight="1">
      <c r="A15" s="18"/>
      <c r="B15" s="24"/>
      <c r="D15" s="25"/>
    </row>
    <row r="16" spans="1:11" s="20" customFormat="1">
      <c r="A16" s="16" t="s">
        <v>128</v>
      </c>
      <c r="B16" s="17"/>
      <c r="C16" s="18"/>
      <c r="D16" s="19"/>
    </row>
    <row r="17" spans="1:4" ht="15.75" customHeight="1">
      <c r="A17" s="18" t="s">
        <v>71</v>
      </c>
      <c r="B17" s="24">
        <f>B12</f>
        <v>560.64</v>
      </c>
      <c r="C17" t="s">
        <v>69</v>
      </c>
      <c r="D17" s="25"/>
    </row>
    <row r="18" spans="1:4" ht="15.75" customHeight="1">
      <c r="A18" s="18" t="s">
        <v>71</v>
      </c>
      <c r="B18" s="24">
        <f>B13</f>
        <v>0.54964705882352938</v>
      </c>
      <c r="C18" t="s">
        <v>70</v>
      </c>
      <c r="D18" s="25"/>
    </row>
    <row r="19" spans="1:4" ht="15.75" customHeight="1">
      <c r="A19" s="18" t="s">
        <v>72</v>
      </c>
      <c r="B19" s="160">
        <f>B6*B7/B8*B9</f>
        <v>3.7647058823529415E-2</v>
      </c>
      <c r="C19" t="s">
        <v>73</v>
      </c>
      <c r="D19" s="25"/>
    </row>
    <row r="20" spans="1:4" ht="15.75" customHeight="1">
      <c r="A20" s="18"/>
      <c r="B20" s="24"/>
      <c r="D20" s="28"/>
    </row>
    <row r="21" spans="1:4" ht="18" customHeight="1">
      <c r="A21" s="241" t="s">
        <v>74</v>
      </c>
      <c r="B21" s="241"/>
      <c r="C21" s="241"/>
    </row>
    <row r="22" spans="1:4" ht="47" customHeight="1">
      <c r="A22" s="29" t="s">
        <v>75</v>
      </c>
      <c r="B22" s="30" t="s">
        <v>76</v>
      </c>
      <c r="C22" s="29" t="s">
        <v>130</v>
      </c>
    </row>
    <row r="23" spans="1:4" ht="15.75" customHeight="1">
      <c r="A23" s="31" t="s">
        <v>77</v>
      </c>
      <c r="B23" s="31">
        <v>100</v>
      </c>
      <c r="C23" s="34">
        <f>B23*$B$18/2000</f>
        <v>2.7482352941176468E-2</v>
      </c>
    </row>
    <row r="24" spans="1:4" ht="15.75" customHeight="1">
      <c r="A24" s="31" t="s">
        <v>78</v>
      </c>
      <c r="B24" s="31">
        <v>84</v>
      </c>
      <c r="C24" s="34">
        <f>B24*$B$18/2000</f>
        <v>2.3085176470588234E-2</v>
      </c>
    </row>
    <row r="25" spans="1:4" ht="15.75" customHeight="1">
      <c r="A25" s="31" t="s">
        <v>79</v>
      </c>
      <c r="B25" s="31">
        <v>5.5</v>
      </c>
      <c r="C25" s="67">
        <f>B25*$B$18/2000</f>
        <v>1.5115294117647058E-3</v>
      </c>
    </row>
    <row r="26" spans="1:4" ht="15.75" customHeight="1">
      <c r="A26" s="31" t="s">
        <v>80</v>
      </c>
      <c r="B26" s="31">
        <v>2.5</v>
      </c>
      <c r="C26" s="67">
        <f>B26*$B$18/2000</f>
        <v>6.870588235294117E-4</v>
      </c>
    </row>
    <row r="27" spans="1:4">
      <c r="A27" s="31" t="s">
        <v>81</v>
      </c>
      <c r="B27" s="31">
        <v>2.6</v>
      </c>
      <c r="C27" s="67">
        <f>B27*$B$18/2000</f>
        <v>7.1454117647058821E-4</v>
      </c>
    </row>
    <row r="28" spans="1:4">
      <c r="A28" s="35" t="s">
        <v>82</v>
      </c>
      <c r="B28" s="36"/>
      <c r="C28" s="37"/>
    </row>
    <row r="29" spans="1:4">
      <c r="A29" s="38"/>
      <c r="B29" s="38"/>
      <c r="C29" s="39"/>
    </row>
    <row r="30" spans="1:4" ht="18" customHeight="1">
      <c r="A30" s="241" t="s">
        <v>83</v>
      </c>
      <c r="B30" s="241"/>
      <c r="C30" s="241"/>
    </row>
    <row r="31" spans="1:4" ht="49" customHeight="1">
      <c r="A31" s="29" t="s">
        <v>75</v>
      </c>
      <c r="B31" s="30" t="s">
        <v>84</v>
      </c>
      <c r="C31" s="29" t="s">
        <v>130</v>
      </c>
    </row>
    <row r="32" spans="1:4">
      <c r="A32" s="31" t="s">
        <v>85</v>
      </c>
      <c r="B32" s="31">
        <v>53.114800000000002</v>
      </c>
      <c r="C32" s="33">
        <f>(B32*B17/1000)*1.10231</f>
        <v>32.824897449400318</v>
      </c>
    </row>
    <row r="33" spans="1:9">
      <c r="A33" s="35" t="s">
        <v>86</v>
      </c>
      <c r="B33" s="36"/>
      <c r="C33" s="37"/>
    </row>
    <row r="34" spans="1:9">
      <c r="C34" s="26"/>
    </row>
    <row r="35" spans="1:9">
      <c r="C35" s="26"/>
    </row>
    <row r="36" spans="1:9" ht="18" customHeight="1">
      <c r="A36" s="242" t="s">
        <v>87</v>
      </c>
      <c r="B36" s="243"/>
      <c r="C36" s="243"/>
      <c r="D36" s="243"/>
      <c r="E36" s="244"/>
      <c r="F36" s="245" t="s">
        <v>131</v>
      </c>
      <c r="G36" s="246"/>
    </row>
    <row r="37" spans="1:9" ht="52" customHeight="1">
      <c r="A37" s="40" t="s">
        <v>75</v>
      </c>
      <c r="B37" s="40" t="s">
        <v>88</v>
      </c>
      <c r="C37" s="41" t="s">
        <v>76</v>
      </c>
      <c r="D37" s="42" t="s">
        <v>132</v>
      </c>
      <c r="E37" s="42" t="s">
        <v>133</v>
      </c>
      <c r="F37" s="42" t="s">
        <v>132</v>
      </c>
      <c r="G37" s="42" t="s">
        <v>133</v>
      </c>
      <c r="I37" s="43"/>
    </row>
    <row r="38" spans="1:9">
      <c r="A38" s="31" t="s">
        <v>12</v>
      </c>
      <c r="B38" s="31" t="s">
        <v>11</v>
      </c>
      <c r="C38" s="31">
        <v>8.0000000000000002E-3</v>
      </c>
      <c r="D38" s="44">
        <f t="shared" ref="D38:D64" si="0">C38*$B$19</f>
        <v>3.0117647058823532E-4</v>
      </c>
      <c r="E38" s="34">
        <f t="shared" ref="E38:E64" si="1">C38*$B$18</f>
        <v>4.3971764705882351E-3</v>
      </c>
      <c r="F38" s="45">
        <f t="shared" ref="F38:F64" si="2">D38/$B$6</f>
        <v>3.0117647058823532E-4</v>
      </c>
      <c r="G38" s="45">
        <f t="shared" ref="G38:G64" si="3">E38/$B$6</f>
        <v>4.3971764705882351E-3</v>
      </c>
    </row>
    <row r="39" spans="1:9">
      <c r="A39" s="31" t="s">
        <v>29</v>
      </c>
      <c r="B39" s="31" t="s">
        <v>28</v>
      </c>
      <c r="C39" s="31">
        <v>1.7000000000000001E-2</v>
      </c>
      <c r="D39" s="44">
        <f t="shared" si="0"/>
        <v>6.4000000000000016E-4</v>
      </c>
      <c r="E39" s="34">
        <f t="shared" si="1"/>
        <v>9.3439999999999999E-3</v>
      </c>
      <c r="F39" s="45">
        <f t="shared" si="2"/>
        <v>6.4000000000000016E-4</v>
      </c>
      <c r="G39" s="45">
        <f t="shared" si="3"/>
        <v>9.3439999999999999E-3</v>
      </c>
    </row>
    <row r="40" spans="1:9">
      <c r="A40" s="31" t="s">
        <v>47</v>
      </c>
      <c r="B40" s="31">
        <v>401</v>
      </c>
      <c r="C40" s="31">
        <v>1E-4</v>
      </c>
      <c r="D40" s="44">
        <f t="shared" si="0"/>
        <v>3.7647058823529418E-6</v>
      </c>
      <c r="E40" s="34">
        <f t="shared" si="1"/>
        <v>5.496470588235294E-5</v>
      </c>
      <c r="F40" s="45">
        <f t="shared" si="2"/>
        <v>3.7647058823529418E-6</v>
      </c>
      <c r="G40" s="45">
        <f t="shared" si="3"/>
        <v>5.496470588235294E-5</v>
      </c>
    </row>
    <row r="41" spans="1:9">
      <c r="A41" s="31" t="s">
        <v>14</v>
      </c>
      <c r="B41" s="31" t="s">
        <v>13</v>
      </c>
      <c r="C41" s="31">
        <v>1.1999999999999999E-6</v>
      </c>
      <c r="D41" s="44">
        <f t="shared" si="0"/>
        <v>4.5176470588235296E-8</v>
      </c>
      <c r="E41" s="34">
        <f t="shared" si="1"/>
        <v>6.5957647058823525E-7</v>
      </c>
      <c r="F41" s="45">
        <f t="shared" si="2"/>
        <v>4.5176470588235296E-8</v>
      </c>
      <c r="G41" s="45">
        <f t="shared" si="3"/>
        <v>6.5957647058823525E-7</v>
      </c>
    </row>
    <row r="42" spans="1:9">
      <c r="A42" s="31" t="s">
        <v>42</v>
      </c>
      <c r="B42" s="31" t="s">
        <v>41</v>
      </c>
      <c r="C42" s="31">
        <v>2.9999999999999997E-4</v>
      </c>
      <c r="D42" s="44">
        <f t="shared" si="0"/>
        <v>1.1294117647058823E-5</v>
      </c>
      <c r="E42" s="34">
        <f t="shared" si="1"/>
        <v>1.648941176470588E-4</v>
      </c>
      <c r="F42" s="45">
        <f t="shared" si="2"/>
        <v>1.1294117647058823E-5</v>
      </c>
      <c r="G42" s="45">
        <f t="shared" si="3"/>
        <v>1.648941176470588E-4</v>
      </c>
    </row>
    <row r="43" spans="1:9">
      <c r="A43" s="31" t="s">
        <v>2</v>
      </c>
      <c r="B43" s="31" t="s">
        <v>1</v>
      </c>
      <c r="C43" s="31">
        <v>4.3E-3</v>
      </c>
      <c r="D43" s="44">
        <f t="shared" si="0"/>
        <v>1.6188235294117649E-4</v>
      </c>
      <c r="E43" s="34">
        <f t="shared" si="1"/>
        <v>2.3634823529411764E-3</v>
      </c>
      <c r="F43" s="45">
        <f t="shared" si="2"/>
        <v>1.6188235294117649E-4</v>
      </c>
      <c r="G43" s="45">
        <f t="shared" si="3"/>
        <v>2.3634823529411764E-3</v>
      </c>
    </row>
    <row r="44" spans="1:9">
      <c r="A44" s="31" t="s">
        <v>4</v>
      </c>
      <c r="B44" s="31" t="s">
        <v>3</v>
      </c>
      <c r="C44" s="31">
        <v>2.7000000000000001E-3</v>
      </c>
      <c r="D44" s="44">
        <f t="shared" si="0"/>
        <v>1.0164705882352943E-4</v>
      </c>
      <c r="E44" s="34">
        <f t="shared" si="1"/>
        <v>1.4840470588235294E-3</v>
      </c>
      <c r="F44" s="45">
        <f t="shared" si="2"/>
        <v>1.0164705882352943E-4</v>
      </c>
      <c r="G44" s="45">
        <f t="shared" si="3"/>
        <v>1.4840470588235294E-3</v>
      </c>
    </row>
    <row r="45" spans="1:9">
      <c r="A45" s="31" t="s">
        <v>6</v>
      </c>
      <c r="B45" s="31" t="s">
        <v>5</v>
      </c>
      <c r="C45" s="31">
        <v>3.2</v>
      </c>
      <c r="D45" s="44">
        <f t="shared" si="0"/>
        <v>0.12047058823529413</v>
      </c>
      <c r="E45" s="34">
        <f t="shared" si="1"/>
        <v>1.7588705882352942</v>
      </c>
      <c r="F45" s="45">
        <f t="shared" si="2"/>
        <v>0.12047058823529413</v>
      </c>
      <c r="G45" s="45">
        <f t="shared" si="3"/>
        <v>1.7588705882352942</v>
      </c>
    </row>
    <row r="46" spans="1:9">
      <c r="A46" s="31" t="s">
        <v>8</v>
      </c>
      <c r="B46" s="31" t="s">
        <v>7</v>
      </c>
      <c r="C46" s="31">
        <v>2.0000000000000001E-4</v>
      </c>
      <c r="D46" s="44">
        <f t="shared" si="0"/>
        <v>7.5294117647058836E-6</v>
      </c>
      <c r="E46" s="34">
        <f t="shared" si="1"/>
        <v>1.0992941176470588E-4</v>
      </c>
      <c r="F46" s="45">
        <f t="shared" si="2"/>
        <v>7.5294117647058836E-6</v>
      </c>
      <c r="G46" s="45">
        <f t="shared" si="3"/>
        <v>1.0992941176470588E-4</v>
      </c>
    </row>
    <row r="47" spans="1:9">
      <c r="A47" s="31" t="s">
        <v>10</v>
      </c>
      <c r="B47" s="31" t="s">
        <v>9</v>
      </c>
      <c r="C47" s="31">
        <v>4.4000000000000003E-3</v>
      </c>
      <c r="D47" s="44">
        <f t="shared" si="0"/>
        <v>1.6564705882352943E-4</v>
      </c>
      <c r="E47" s="34">
        <f t="shared" si="1"/>
        <v>2.4184470588235296E-3</v>
      </c>
      <c r="F47" s="45">
        <f t="shared" si="2"/>
        <v>1.6564705882352943E-4</v>
      </c>
      <c r="G47" s="45">
        <f t="shared" si="3"/>
        <v>2.4184470588235296E-3</v>
      </c>
    </row>
    <row r="48" spans="1:9">
      <c r="A48" s="31" t="s">
        <v>16</v>
      </c>
      <c r="B48" s="31" t="s">
        <v>15</v>
      </c>
      <c r="C48" s="31">
        <v>1.2E-5</v>
      </c>
      <c r="D48" s="44">
        <f t="shared" si="0"/>
        <v>4.5176470588235299E-7</v>
      </c>
      <c r="E48" s="34">
        <f t="shared" si="1"/>
        <v>6.5957647058823523E-6</v>
      </c>
      <c r="F48" s="45">
        <f t="shared" si="2"/>
        <v>4.5176470588235299E-7</v>
      </c>
      <c r="G48" s="45">
        <f t="shared" si="3"/>
        <v>6.5957647058823523E-6</v>
      </c>
    </row>
    <row r="49" spans="1:7">
      <c r="A49" s="31" t="s">
        <v>18</v>
      </c>
      <c r="B49" s="46" t="s">
        <v>17</v>
      </c>
      <c r="C49" s="31">
        <v>1.1000000000000001E-3</v>
      </c>
      <c r="D49" s="44">
        <f t="shared" si="0"/>
        <v>4.1411764705882357E-5</v>
      </c>
      <c r="E49" s="34">
        <f t="shared" si="1"/>
        <v>6.046117647058824E-4</v>
      </c>
      <c r="F49" s="45">
        <f t="shared" si="2"/>
        <v>4.1411764705882357E-5</v>
      </c>
      <c r="G49" s="45">
        <f t="shared" si="3"/>
        <v>6.046117647058824E-4</v>
      </c>
    </row>
    <row r="50" spans="1:7">
      <c r="A50" s="31" t="s">
        <v>20</v>
      </c>
      <c r="B50" s="31" t="s">
        <v>19</v>
      </c>
      <c r="C50" s="31">
        <v>1.4E-3</v>
      </c>
      <c r="D50" s="44">
        <f t="shared" si="0"/>
        <v>5.2705882352941184E-5</v>
      </c>
      <c r="E50" s="34">
        <f t="shared" si="1"/>
        <v>7.6950588235294112E-4</v>
      </c>
      <c r="F50" s="45">
        <f t="shared" si="2"/>
        <v>5.2705882352941184E-5</v>
      </c>
      <c r="G50" s="45">
        <f t="shared" si="3"/>
        <v>7.6950588235294112E-4</v>
      </c>
    </row>
    <row r="51" spans="1:7">
      <c r="A51" s="31" t="s">
        <v>22</v>
      </c>
      <c r="B51" s="31" t="s">
        <v>21</v>
      </c>
      <c r="C51" s="31">
        <v>8.3999999999999995E-5</v>
      </c>
      <c r="D51" s="44">
        <f t="shared" si="0"/>
        <v>3.1623529411764707E-6</v>
      </c>
      <c r="E51" s="34">
        <f t="shared" si="1"/>
        <v>4.6170352941176468E-5</v>
      </c>
      <c r="F51" s="45">
        <f t="shared" si="2"/>
        <v>3.1623529411764707E-6</v>
      </c>
      <c r="G51" s="45">
        <f t="shared" si="3"/>
        <v>4.6170352941176468E-5</v>
      </c>
    </row>
    <row r="52" spans="1:7">
      <c r="A52" s="31" t="s">
        <v>24</v>
      </c>
      <c r="B52" s="31" t="s">
        <v>23</v>
      </c>
      <c r="C52" s="31">
        <v>8.4999999999999995E-4</v>
      </c>
      <c r="D52" s="44">
        <f t="shared" si="0"/>
        <v>3.1999999999999999E-5</v>
      </c>
      <c r="E52" s="34">
        <f t="shared" si="1"/>
        <v>4.6719999999999992E-4</v>
      </c>
      <c r="F52" s="45">
        <f t="shared" si="2"/>
        <v>3.1999999999999999E-5</v>
      </c>
      <c r="G52" s="45">
        <f t="shared" si="3"/>
        <v>4.6719999999999992E-4</v>
      </c>
    </row>
    <row r="53" spans="1:7">
      <c r="A53" s="31" t="s">
        <v>26</v>
      </c>
      <c r="B53" s="31" t="s">
        <v>25</v>
      </c>
      <c r="C53" s="31">
        <v>9.4999999999999998E-3</v>
      </c>
      <c r="D53" s="44">
        <f t="shared" si="0"/>
        <v>3.5764705882352943E-4</v>
      </c>
      <c r="E53" s="34">
        <f t="shared" si="1"/>
        <v>5.2216470588235288E-3</v>
      </c>
      <c r="F53" s="45">
        <f t="shared" si="2"/>
        <v>3.5764705882352943E-4</v>
      </c>
      <c r="G53" s="45">
        <f t="shared" si="3"/>
        <v>5.2216470588235288E-3</v>
      </c>
    </row>
    <row r="54" spans="1:7">
      <c r="A54" s="31" t="s">
        <v>31</v>
      </c>
      <c r="B54" s="31" t="s">
        <v>30</v>
      </c>
      <c r="C54" s="31">
        <v>6.3E-3</v>
      </c>
      <c r="D54" s="44">
        <f t="shared" si="0"/>
        <v>2.3717647058823531E-4</v>
      </c>
      <c r="E54" s="34">
        <f t="shared" si="1"/>
        <v>3.4627764705882349E-3</v>
      </c>
      <c r="F54" s="45">
        <f t="shared" si="2"/>
        <v>2.3717647058823531E-4</v>
      </c>
      <c r="G54" s="45">
        <f t="shared" si="3"/>
        <v>3.4627764705882349E-3</v>
      </c>
    </row>
    <row r="55" spans="1:7">
      <c r="A55" s="31" t="s">
        <v>34</v>
      </c>
      <c r="B55" s="31" t="s">
        <v>33</v>
      </c>
      <c r="C55" s="31">
        <v>5.0000000000000001E-4</v>
      </c>
      <c r="D55" s="44">
        <f t="shared" si="0"/>
        <v>1.8823529411764708E-5</v>
      </c>
      <c r="E55" s="34">
        <f t="shared" si="1"/>
        <v>2.7482352941176469E-4</v>
      </c>
      <c r="F55" s="45">
        <f t="shared" si="2"/>
        <v>1.8823529411764708E-5</v>
      </c>
      <c r="G55" s="45">
        <f t="shared" si="3"/>
        <v>2.7482352941176469E-4</v>
      </c>
    </row>
    <row r="56" spans="1:7">
      <c r="A56" s="31" t="s">
        <v>36</v>
      </c>
      <c r="B56" s="31" t="s">
        <v>35</v>
      </c>
      <c r="C56" s="31">
        <v>3.8000000000000002E-4</v>
      </c>
      <c r="D56" s="44">
        <f t="shared" si="0"/>
        <v>1.4305882352941179E-5</v>
      </c>
      <c r="E56" s="34">
        <f t="shared" si="1"/>
        <v>2.0886588235294117E-4</v>
      </c>
      <c r="F56" s="45">
        <f t="shared" si="2"/>
        <v>1.4305882352941179E-5</v>
      </c>
      <c r="G56" s="45">
        <f t="shared" si="3"/>
        <v>2.0886588235294117E-4</v>
      </c>
    </row>
    <row r="57" spans="1:7">
      <c r="A57" s="31" t="s">
        <v>38</v>
      </c>
      <c r="B57" s="31" t="s">
        <v>37</v>
      </c>
      <c r="C57" s="31">
        <v>2.5999999999999998E-4</v>
      </c>
      <c r="D57" s="44">
        <f t="shared" si="0"/>
        <v>9.788235294117647E-6</v>
      </c>
      <c r="E57" s="34">
        <f t="shared" si="1"/>
        <v>1.4290823529411763E-4</v>
      </c>
      <c r="F57" s="45">
        <f t="shared" si="2"/>
        <v>9.788235294117647E-6</v>
      </c>
      <c r="G57" s="45">
        <f t="shared" si="3"/>
        <v>1.4290823529411763E-4</v>
      </c>
    </row>
    <row r="58" spans="1:7">
      <c r="A58" s="31" t="s">
        <v>40</v>
      </c>
      <c r="B58" s="31" t="s">
        <v>39</v>
      </c>
      <c r="C58" s="31">
        <v>1.65E-3</v>
      </c>
      <c r="D58" s="44">
        <f t="shared" si="0"/>
        <v>6.2117647058823529E-5</v>
      </c>
      <c r="E58" s="34">
        <f t="shared" si="1"/>
        <v>9.0691764705882344E-4</v>
      </c>
      <c r="F58" s="45">
        <f t="shared" si="2"/>
        <v>6.2117647058823529E-5</v>
      </c>
      <c r="G58" s="45">
        <f t="shared" si="3"/>
        <v>9.0691764705882344E-4</v>
      </c>
    </row>
    <row r="59" spans="1:7">
      <c r="A59" s="31" t="s">
        <v>44</v>
      </c>
      <c r="B59" s="31">
        <v>365</v>
      </c>
      <c r="C59" s="31">
        <v>2.0999999999999999E-3</v>
      </c>
      <c r="D59" s="44">
        <f t="shared" si="0"/>
        <v>7.9058823529411766E-5</v>
      </c>
      <c r="E59" s="34">
        <f t="shared" si="1"/>
        <v>1.1542588235294116E-3</v>
      </c>
      <c r="F59" s="45">
        <f t="shared" si="2"/>
        <v>7.9058823529411766E-5</v>
      </c>
      <c r="G59" s="45">
        <f t="shared" si="3"/>
        <v>1.1542588235294116E-3</v>
      </c>
    </row>
    <row r="60" spans="1:7">
      <c r="A60" s="31" t="s">
        <v>51</v>
      </c>
      <c r="B60" s="31" t="s">
        <v>50</v>
      </c>
      <c r="C60" s="31">
        <v>2.4000000000000001E-5</v>
      </c>
      <c r="D60" s="44">
        <f t="shared" si="0"/>
        <v>9.0352941176470598E-7</v>
      </c>
      <c r="E60" s="34">
        <f t="shared" si="1"/>
        <v>1.3191529411764705E-5</v>
      </c>
      <c r="F60" s="45">
        <f t="shared" si="2"/>
        <v>9.0352941176470598E-7</v>
      </c>
      <c r="G60" s="45">
        <f t="shared" si="3"/>
        <v>1.3191529411764705E-5</v>
      </c>
    </row>
    <row r="61" spans="1:7">
      <c r="A61" s="31" t="s">
        <v>53</v>
      </c>
      <c r="B61" s="31" t="s">
        <v>52</v>
      </c>
      <c r="C61" s="31">
        <v>3.6600000000000001E-2</v>
      </c>
      <c r="D61" s="44">
        <f t="shared" si="0"/>
        <v>1.3778823529411767E-3</v>
      </c>
      <c r="E61" s="34">
        <f t="shared" si="1"/>
        <v>2.0117082352941174E-2</v>
      </c>
      <c r="F61" s="45">
        <f t="shared" si="2"/>
        <v>1.3778823529411767E-3</v>
      </c>
      <c r="G61" s="45">
        <f t="shared" si="3"/>
        <v>2.0117082352941174E-2</v>
      </c>
    </row>
    <row r="62" spans="1:7">
      <c r="A62" s="31" t="s">
        <v>55</v>
      </c>
      <c r="B62" s="31" t="s">
        <v>54</v>
      </c>
      <c r="C62" s="31">
        <v>2.3E-3</v>
      </c>
      <c r="D62" s="44">
        <f t="shared" si="0"/>
        <v>8.658823529411765E-5</v>
      </c>
      <c r="E62" s="34">
        <f t="shared" si="1"/>
        <v>1.2641882352941176E-3</v>
      </c>
      <c r="F62" s="45">
        <f t="shared" si="2"/>
        <v>8.658823529411765E-5</v>
      </c>
      <c r="G62" s="45">
        <f t="shared" si="3"/>
        <v>1.2641882352941176E-3</v>
      </c>
    </row>
    <row r="63" spans="1:7">
      <c r="A63" s="31" t="s">
        <v>57</v>
      </c>
      <c r="B63" s="31" t="s">
        <v>56</v>
      </c>
      <c r="C63" s="31">
        <v>2.7199999999999998E-2</v>
      </c>
      <c r="D63" s="44">
        <f t="shared" si="0"/>
        <v>1.024E-3</v>
      </c>
      <c r="E63" s="34">
        <f t="shared" si="1"/>
        <v>1.4950399999999997E-2</v>
      </c>
      <c r="F63" s="45">
        <f t="shared" si="2"/>
        <v>1.024E-3</v>
      </c>
      <c r="G63" s="45">
        <f t="shared" si="3"/>
        <v>1.4950399999999997E-2</v>
      </c>
    </row>
    <row r="64" spans="1:7">
      <c r="A64" s="31" t="s">
        <v>59</v>
      </c>
      <c r="B64" s="31" t="s">
        <v>58</v>
      </c>
      <c r="C64" s="31">
        <v>2.9000000000000001E-2</v>
      </c>
      <c r="D64" s="44">
        <f t="shared" si="0"/>
        <v>1.0917647058823531E-3</v>
      </c>
      <c r="E64" s="34">
        <f t="shared" si="1"/>
        <v>1.5939764705882351E-2</v>
      </c>
      <c r="F64" s="45">
        <f t="shared" si="2"/>
        <v>1.0917647058823531E-3</v>
      </c>
      <c r="G64" s="45">
        <f t="shared" si="3"/>
        <v>1.5939764705882351E-2</v>
      </c>
    </row>
    <row r="65" spans="1:7">
      <c r="A65" s="31" t="s">
        <v>89</v>
      </c>
      <c r="B65" s="31"/>
      <c r="C65" s="31"/>
      <c r="D65" s="47">
        <f>SUM(D38:D64)</f>
        <v>0.12635336282352946</v>
      </c>
      <c r="E65" s="47">
        <f>SUM(E38:E64)</f>
        <v>1.844759097223529</v>
      </c>
      <c r="F65" s="47">
        <f>SUM(F38:F64)</f>
        <v>0.12635336282352946</v>
      </c>
      <c r="G65" s="47">
        <f>SUM(G38:G64)</f>
        <v>1.844759097223529</v>
      </c>
    </row>
    <row r="139" spans="1:8">
      <c r="A139" s="230" t="s">
        <v>90</v>
      </c>
      <c r="B139" s="231"/>
      <c r="C139" s="231"/>
      <c r="D139" s="231"/>
      <c r="E139" s="232"/>
    </row>
    <row r="140" spans="1:8">
      <c r="A140" s="48" t="s">
        <v>91</v>
      </c>
      <c r="B140" s="49">
        <v>1.04E-5</v>
      </c>
      <c r="C140" s="50" t="s">
        <v>92</v>
      </c>
      <c r="D140" s="51" t="s">
        <v>93</v>
      </c>
      <c r="E140" s="52" t="e">
        <f>B140*#REF!</f>
        <v>#REF!</v>
      </c>
      <c r="F140" t="s">
        <v>94</v>
      </c>
    </row>
    <row r="141" spans="1:8">
      <c r="A141" s="48" t="s">
        <v>95</v>
      </c>
      <c r="B141" s="49">
        <v>1.0206E-2</v>
      </c>
      <c r="C141" s="50" t="s">
        <v>92</v>
      </c>
      <c r="D141" s="51" t="s">
        <v>93</v>
      </c>
      <c r="E141" s="52" t="e">
        <f>B141*#REF!</f>
        <v>#REF!</v>
      </c>
      <c r="F141" t="s">
        <v>94</v>
      </c>
    </row>
    <row r="142" spans="1:8">
      <c r="A142" s="48" t="s">
        <v>96</v>
      </c>
      <c r="B142" s="49">
        <v>2.4700000000000001E-5</v>
      </c>
      <c r="C142" s="50" t="s">
        <v>92</v>
      </c>
      <c r="D142" s="51" t="s">
        <v>93</v>
      </c>
      <c r="E142" s="53" t="e">
        <f>B142*#REF!</f>
        <v>#REF!</v>
      </c>
      <c r="F142" t="s">
        <v>94</v>
      </c>
      <c r="G142" s="24" t="e">
        <f>SUM(E140:E142)</f>
        <v>#REF!</v>
      </c>
      <c r="H142" t="s">
        <v>94</v>
      </c>
    </row>
    <row r="143" spans="1:8">
      <c r="A143" s="230" t="s">
        <v>97</v>
      </c>
      <c r="B143" s="231"/>
      <c r="C143" s="231"/>
      <c r="D143" s="231"/>
      <c r="E143" s="232"/>
      <c r="G143" t="e">
        <f>G142*1.10231</f>
        <v>#REF!</v>
      </c>
      <c r="H143" t="s">
        <v>98</v>
      </c>
    </row>
    <row r="144" spans="1:8">
      <c r="A144" s="48" t="s">
        <v>12</v>
      </c>
      <c r="B144" s="49">
        <v>7.76E-4</v>
      </c>
      <c r="C144" s="50" t="s">
        <v>99</v>
      </c>
      <c r="D144" s="51" t="s">
        <v>100</v>
      </c>
      <c r="E144" s="54" t="e">
        <f>B144*#REF!*#REF!/1000000/2000</f>
        <v>#REF!</v>
      </c>
    </row>
    <row r="145" spans="1:8">
      <c r="A145" s="48" t="s">
        <v>53</v>
      </c>
      <c r="B145" s="49">
        <v>2.81E-4</v>
      </c>
      <c r="C145" s="50" t="s">
        <v>99</v>
      </c>
      <c r="D145" s="51" t="s">
        <v>100</v>
      </c>
      <c r="E145" s="55" t="e">
        <f>B145*#REF!*#REF!/1000000/2000</f>
        <v>#REF!</v>
      </c>
      <c r="G145">
        <v>2490</v>
      </c>
    </row>
    <row r="146" spans="1:8">
      <c r="A146" s="48" t="s">
        <v>101</v>
      </c>
      <c r="B146" s="49">
        <v>1.93E-4</v>
      </c>
      <c r="C146" s="50" t="s">
        <v>99</v>
      </c>
      <c r="D146" s="51" t="s">
        <v>100</v>
      </c>
      <c r="E146" s="55" t="e">
        <f>B146*#REF!*#REF!/1000000/2000</f>
        <v>#REF!</v>
      </c>
      <c r="G146">
        <f>G145*1.10231</f>
        <v>2744.7518999999998</v>
      </c>
      <c r="H146" t="s">
        <v>98</v>
      </c>
    </row>
    <row r="147" spans="1:8">
      <c r="A147" s="48" t="s">
        <v>29</v>
      </c>
      <c r="B147" s="49">
        <v>7.8899999999999993E-5</v>
      </c>
      <c r="C147" s="50" t="s">
        <v>99</v>
      </c>
      <c r="D147" s="51" t="s">
        <v>100</v>
      </c>
      <c r="E147" s="55" t="e">
        <f>B147*#REF!*#REF!/1000000/2000</f>
        <v>#REF!</v>
      </c>
    </row>
    <row r="148" spans="1:8">
      <c r="A148" s="48" t="s">
        <v>2</v>
      </c>
      <c r="B148" s="49">
        <v>2.5199999999999999E-5</v>
      </c>
      <c r="C148" s="50" t="s">
        <v>99</v>
      </c>
      <c r="D148" s="51" t="s">
        <v>100</v>
      </c>
      <c r="E148" s="56" t="e">
        <f>B148*#REF!*#REF!/1000000/2000</f>
        <v>#REF!</v>
      </c>
    </row>
    <row r="149" spans="1:8">
      <c r="A149" s="48" t="s">
        <v>4</v>
      </c>
      <c r="B149" s="49">
        <v>7.8800000000000008E-6</v>
      </c>
      <c r="C149" s="50" t="s">
        <v>99</v>
      </c>
      <c r="D149" s="51" t="s">
        <v>100</v>
      </c>
      <c r="E149" s="56" t="e">
        <f>B149*#REF!*#REF!/1000000/2000</f>
        <v>#REF!</v>
      </c>
    </row>
    <row r="150" spans="1:8">
      <c r="A150" s="48" t="s">
        <v>102</v>
      </c>
      <c r="B150" s="49">
        <v>1.2999999999999999E-4</v>
      </c>
      <c r="C150" s="50" t="s">
        <v>99</v>
      </c>
      <c r="D150" s="51" t="s">
        <v>100</v>
      </c>
      <c r="E150" s="55" t="e">
        <f>B150*#REF!*#REF!/1000000/2000</f>
        <v>#REF!</v>
      </c>
    </row>
    <row r="151" spans="1:8">
      <c r="A151" s="48" t="s">
        <v>103</v>
      </c>
      <c r="B151" s="49">
        <v>2.12E-4</v>
      </c>
      <c r="C151" s="50" t="s">
        <v>99</v>
      </c>
      <c r="D151" s="51" t="s">
        <v>100</v>
      </c>
      <c r="E151" s="55" t="e">
        <f>B151*#REF!*#REF!/1000000/2000</f>
        <v>#REF!</v>
      </c>
    </row>
    <row r="152" spans="1:8">
      <c r="A152" s="48" t="s">
        <v>104</v>
      </c>
      <c r="B152" s="49"/>
      <c r="C152" s="50"/>
      <c r="D152" s="48"/>
      <c r="E152" s="54" t="e">
        <f>SUM(E144:E151)</f>
        <v>#REF!</v>
      </c>
    </row>
    <row r="153" spans="1:8">
      <c r="B153" s="57"/>
      <c r="C153" s="3"/>
      <c r="E153" s="24"/>
    </row>
    <row r="154" spans="1:8">
      <c r="A154" t="s">
        <v>105</v>
      </c>
      <c r="B154" s="57"/>
      <c r="C154" s="3"/>
      <c r="E154" s="24"/>
    </row>
    <row r="155" spans="1:8">
      <c r="A155" t="s">
        <v>106</v>
      </c>
      <c r="B155" s="57"/>
      <c r="C155" s="3"/>
      <c r="E155" s="24"/>
    </row>
    <row r="156" spans="1:8">
      <c r="A156" t="s">
        <v>107</v>
      </c>
      <c r="B156" s="57"/>
      <c r="C156" s="3"/>
      <c r="E156" s="24"/>
    </row>
    <row r="157" spans="1:8">
      <c r="A157" t="s">
        <v>108</v>
      </c>
      <c r="B157" s="57"/>
      <c r="C157" s="3"/>
      <c r="E157" s="24"/>
    </row>
    <row r="158" spans="1:8">
      <c r="A158" t="s">
        <v>109</v>
      </c>
      <c r="B158" s="57"/>
      <c r="C158" s="3"/>
      <c r="E158" s="24"/>
    </row>
    <row r="160" spans="1:8">
      <c r="A160" s="58" t="s">
        <v>110</v>
      </c>
    </row>
    <row r="162" spans="1:7">
      <c r="A162" s="50" t="s">
        <v>77</v>
      </c>
      <c r="B162" s="50" t="s">
        <v>78</v>
      </c>
      <c r="C162" s="50" t="s">
        <v>79</v>
      </c>
      <c r="D162" s="50" t="s">
        <v>80</v>
      </c>
      <c r="E162" s="50" t="s">
        <v>81</v>
      </c>
      <c r="F162" s="59" t="s">
        <v>111</v>
      </c>
      <c r="G162" s="50" t="s">
        <v>112</v>
      </c>
    </row>
    <row r="163" spans="1:7">
      <c r="A163" s="228" t="s">
        <v>61</v>
      </c>
      <c r="B163" s="233"/>
      <c r="C163" s="233"/>
      <c r="D163" s="233"/>
      <c r="E163" s="233"/>
      <c r="F163" s="233"/>
      <c r="G163" s="229"/>
    </row>
    <row r="164" spans="1:7">
      <c r="A164" s="60" t="e">
        <f>#REF!</f>
        <v>#REF!</v>
      </c>
      <c r="B164" s="60" t="e">
        <f>#REF!</f>
        <v>#REF!</v>
      </c>
      <c r="C164" s="60" t="e">
        <f>#REF!</f>
        <v>#REF!</v>
      </c>
      <c r="D164" s="61" t="e">
        <f>#REF!</f>
        <v>#REF!</v>
      </c>
      <c r="E164" s="61" t="e">
        <f>#REF!</f>
        <v>#REF!</v>
      </c>
      <c r="F164" s="60" t="e">
        <f>SUM(E140:E142)</f>
        <v>#REF!</v>
      </c>
      <c r="G164" s="54" t="e">
        <f>E152</f>
        <v>#REF!</v>
      </c>
    </row>
    <row r="168" spans="1:7" ht="23.5">
      <c r="A168" s="62"/>
      <c r="C168" s="12"/>
      <c r="D168" s="12"/>
      <c r="E168" s="12"/>
      <c r="F168" s="13"/>
    </row>
    <row r="169" spans="1:7" ht="23.5">
      <c r="A169" s="62"/>
      <c r="C169" s="12"/>
      <c r="D169" s="12"/>
      <c r="E169" s="12"/>
      <c r="F169" s="13"/>
    </row>
    <row r="170" spans="1:7" ht="23.5">
      <c r="A170" s="62"/>
      <c r="C170" s="12"/>
      <c r="D170" s="12"/>
      <c r="E170" s="12"/>
      <c r="F170" s="13"/>
    </row>
    <row r="171" spans="1:7" ht="23.5">
      <c r="A171" s="62"/>
      <c r="C171" s="12"/>
      <c r="D171" s="12"/>
      <c r="E171" s="12"/>
      <c r="F171" s="13"/>
    </row>
    <row r="172" spans="1:7" ht="23.5">
      <c r="A172" s="62"/>
      <c r="C172" s="12"/>
      <c r="D172" s="12"/>
      <c r="E172" s="12"/>
      <c r="F172" s="13"/>
    </row>
    <row r="173" spans="1:7" ht="23.5">
      <c r="A173" s="62"/>
      <c r="C173" s="12"/>
      <c r="D173" s="12"/>
      <c r="E173" s="12"/>
      <c r="F173" s="13"/>
    </row>
    <row r="174" spans="1:7" ht="23.5">
      <c r="A174" s="62"/>
      <c r="C174" s="12"/>
      <c r="D174" s="12"/>
      <c r="E174" s="12"/>
      <c r="F174" s="13"/>
    </row>
    <row r="175" spans="1:7" ht="23.5">
      <c r="A175" s="62"/>
      <c r="B175" s="11"/>
      <c r="C175" s="12"/>
      <c r="D175" s="12"/>
      <c r="E175" s="12"/>
      <c r="F175" s="13"/>
    </row>
    <row r="177" spans="1:6">
      <c r="A177" s="58"/>
    </row>
    <row r="178" spans="1:6">
      <c r="A178" s="58"/>
    </row>
    <row r="179" spans="1:6">
      <c r="A179" t="s">
        <v>113</v>
      </c>
      <c r="B179" s="22">
        <v>624500</v>
      </c>
      <c r="C179" t="s">
        <v>114</v>
      </c>
    </row>
    <row r="180" spans="1:6">
      <c r="A180" t="s">
        <v>115</v>
      </c>
      <c r="B180" s="22">
        <v>138000</v>
      </c>
      <c r="C180" t="s">
        <v>116</v>
      </c>
    </row>
    <row r="182" spans="1:6" ht="20" customHeight="1">
      <c r="A182" s="234" t="s">
        <v>75</v>
      </c>
      <c r="B182" s="235" t="s">
        <v>117</v>
      </c>
      <c r="C182" s="235"/>
      <c r="D182" s="235"/>
      <c r="E182" s="236" t="s">
        <v>118</v>
      </c>
    </row>
    <row r="183" spans="1:6" ht="31" customHeight="1">
      <c r="A183" s="234"/>
      <c r="B183" s="50" t="s">
        <v>119</v>
      </c>
      <c r="C183" s="50" t="s">
        <v>120</v>
      </c>
      <c r="D183" s="50" t="s">
        <v>0</v>
      </c>
      <c r="E183" s="237"/>
    </row>
    <row r="184" spans="1:6" ht="17" customHeight="1">
      <c r="A184" s="238" t="s">
        <v>121</v>
      </c>
      <c r="B184" s="239"/>
      <c r="C184" s="239"/>
      <c r="D184" s="239"/>
      <c r="E184" s="240"/>
    </row>
    <row r="185" spans="1:6">
      <c r="A185" s="48" t="s">
        <v>77</v>
      </c>
      <c r="B185" s="49" t="e">
        <f>#REF!</f>
        <v>#REF!</v>
      </c>
      <c r="C185" s="50" t="s">
        <v>122</v>
      </c>
      <c r="D185" s="51" t="s">
        <v>123</v>
      </c>
      <c r="E185" s="52" t="e">
        <f>B185*$B$179/2000</f>
        <v>#REF!</v>
      </c>
    </row>
    <row r="186" spans="1:6">
      <c r="A186" s="48" t="s">
        <v>78</v>
      </c>
      <c r="B186" s="49" t="e">
        <f>#REF!</f>
        <v>#REF!</v>
      </c>
      <c r="C186" s="50" t="s">
        <v>122</v>
      </c>
      <c r="D186" s="51" t="s">
        <v>123</v>
      </c>
      <c r="E186" s="52" t="e">
        <f>B186*$B$179/2000</f>
        <v>#REF!</v>
      </c>
    </row>
    <row r="187" spans="1:6">
      <c r="A187" s="48" t="s">
        <v>79</v>
      </c>
      <c r="B187" s="49" t="e">
        <f>#REF!</f>
        <v>#REF!</v>
      </c>
      <c r="C187" s="50" t="s">
        <v>122</v>
      </c>
      <c r="D187" s="51" t="s">
        <v>123</v>
      </c>
      <c r="E187" s="53" t="e">
        <f>B187*$B$179/2000</f>
        <v>#REF!</v>
      </c>
    </row>
    <row r="188" spans="1:6">
      <c r="A188" s="48" t="s">
        <v>80</v>
      </c>
      <c r="B188" s="49" t="e">
        <f>#REF!</f>
        <v>#REF!</v>
      </c>
      <c r="C188" s="50" t="s">
        <v>122</v>
      </c>
      <c r="D188" s="51" t="s">
        <v>123</v>
      </c>
      <c r="E188" s="53" t="e">
        <f>B188*$B$179/2000</f>
        <v>#REF!</v>
      </c>
    </row>
    <row r="189" spans="1:6">
      <c r="A189" s="48" t="s">
        <v>81</v>
      </c>
      <c r="B189" s="49" t="e">
        <f>#REF!</f>
        <v>#REF!</v>
      </c>
      <c r="C189" s="50" t="s">
        <v>122</v>
      </c>
      <c r="D189" s="51" t="s">
        <v>123</v>
      </c>
      <c r="E189" s="53" t="e">
        <f>B189*$B$179/2000</f>
        <v>#REF!</v>
      </c>
    </row>
    <row r="190" spans="1:6">
      <c r="A190" s="48" t="s">
        <v>124</v>
      </c>
      <c r="B190" s="49">
        <v>8.3000000000000001E-3</v>
      </c>
      <c r="C190" s="50" t="s">
        <v>125</v>
      </c>
      <c r="D190" s="51" t="s">
        <v>126</v>
      </c>
      <c r="E190" s="55">
        <f>B190*B179/1000/2000</f>
        <v>2.5916750000000003E-3</v>
      </c>
    </row>
    <row r="191" spans="1:6">
      <c r="A191" s="230" t="s">
        <v>90</v>
      </c>
      <c r="B191" s="231"/>
      <c r="C191" s="231"/>
      <c r="D191" s="231"/>
      <c r="E191" s="232"/>
    </row>
    <row r="192" spans="1:6">
      <c r="A192" s="48" t="s">
        <v>91</v>
      </c>
      <c r="B192" s="49">
        <v>1.04E-5</v>
      </c>
      <c r="C192" s="50" t="s">
        <v>92</v>
      </c>
      <c r="D192" s="51" t="s">
        <v>93</v>
      </c>
      <c r="E192" s="52">
        <f>B192*$B$179</f>
        <v>6.4948000000000006</v>
      </c>
      <c r="F192" t="s">
        <v>94</v>
      </c>
    </row>
    <row r="193" spans="1:6">
      <c r="A193" s="48" t="s">
        <v>95</v>
      </c>
      <c r="B193" s="49">
        <v>1.0206E-2</v>
      </c>
      <c r="C193" s="50" t="s">
        <v>92</v>
      </c>
      <c r="D193" s="51" t="s">
        <v>93</v>
      </c>
      <c r="E193" s="65">
        <f>B193*$B$179</f>
        <v>6373.6469999999999</v>
      </c>
      <c r="F193" t="s">
        <v>94</v>
      </c>
    </row>
    <row r="194" spans="1:6">
      <c r="A194" s="48" t="s">
        <v>96</v>
      </c>
      <c r="B194" s="49">
        <v>2.4700000000000001E-5</v>
      </c>
      <c r="C194" s="50" t="s">
        <v>92</v>
      </c>
      <c r="D194" s="51" t="s">
        <v>93</v>
      </c>
      <c r="E194" s="52">
        <f>B194*$B$179</f>
        <v>15.42515</v>
      </c>
      <c r="F194" t="s">
        <v>94</v>
      </c>
    </row>
    <row r="195" spans="1:6">
      <c r="A195" s="230" t="s">
        <v>97</v>
      </c>
      <c r="B195" s="231"/>
      <c r="C195" s="231"/>
      <c r="D195" s="231"/>
      <c r="E195" s="232"/>
    </row>
    <row r="196" spans="1:6">
      <c r="A196" s="48" t="s">
        <v>12</v>
      </c>
      <c r="B196" s="49">
        <v>7.76E-4</v>
      </c>
      <c r="C196" s="50" t="s">
        <v>99</v>
      </c>
      <c r="D196" s="51" t="s">
        <v>100</v>
      </c>
      <c r="E196" s="54">
        <f t="shared" ref="E196:E203" si="4">B196*$B$179*$B$180/1000000/2000</f>
        <v>3.3438228E-2</v>
      </c>
    </row>
    <row r="197" spans="1:6">
      <c r="A197" s="48" t="s">
        <v>53</v>
      </c>
      <c r="B197" s="49">
        <v>2.81E-4</v>
      </c>
      <c r="C197" s="50" t="s">
        <v>99</v>
      </c>
      <c r="D197" s="51" t="s">
        <v>100</v>
      </c>
      <c r="E197" s="55">
        <f t="shared" si="4"/>
        <v>1.2108430500000001E-2</v>
      </c>
    </row>
    <row r="198" spans="1:6">
      <c r="A198" s="48" t="s">
        <v>101</v>
      </c>
      <c r="B198" s="49">
        <v>1.93E-4</v>
      </c>
      <c r="C198" s="50" t="s">
        <v>99</v>
      </c>
      <c r="D198" s="51" t="s">
        <v>100</v>
      </c>
      <c r="E198" s="55">
        <f t="shared" si="4"/>
        <v>8.3164665000000013E-3</v>
      </c>
    </row>
    <row r="199" spans="1:6">
      <c r="A199" s="48" t="s">
        <v>29</v>
      </c>
      <c r="B199" s="49">
        <v>7.8899999999999993E-5</v>
      </c>
      <c r="C199" s="50" t="s">
        <v>99</v>
      </c>
      <c r="D199" s="51" t="s">
        <v>100</v>
      </c>
      <c r="E199" s="55">
        <f t="shared" si="4"/>
        <v>3.3998404499999998E-3</v>
      </c>
    </row>
    <row r="200" spans="1:6">
      <c r="A200" s="48" t="s">
        <v>2</v>
      </c>
      <c r="B200" s="49">
        <v>2.5199999999999999E-5</v>
      </c>
      <c r="C200" s="50" t="s">
        <v>99</v>
      </c>
      <c r="D200" s="51" t="s">
        <v>100</v>
      </c>
      <c r="E200" s="56">
        <f t="shared" si="4"/>
        <v>1.0858805999999998E-3</v>
      </c>
    </row>
    <row r="201" spans="1:6">
      <c r="A201" s="48" t="s">
        <v>4</v>
      </c>
      <c r="B201" s="49">
        <v>7.8800000000000008E-6</v>
      </c>
      <c r="C201" s="50" t="s">
        <v>99</v>
      </c>
      <c r="D201" s="51" t="s">
        <v>100</v>
      </c>
      <c r="E201" s="56">
        <f t="shared" si="4"/>
        <v>3.3955314000000007E-4</v>
      </c>
    </row>
    <row r="202" spans="1:6">
      <c r="A202" s="48" t="s">
        <v>102</v>
      </c>
      <c r="B202" s="49">
        <v>1.2999999999999999E-4</v>
      </c>
      <c r="C202" s="50" t="s">
        <v>99</v>
      </c>
      <c r="D202" s="51" t="s">
        <v>100</v>
      </c>
      <c r="E202" s="55">
        <f t="shared" si="4"/>
        <v>5.6017649999999999E-3</v>
      </c>
    </row>
    <row r="203" spans="1:6">
      <c r="A203" s="48" t="s">
        <v>103</v>
      </c>
      <c r="B203" s="49">
        <v>2.12E-4</v>
      </c>
      <c r="C203" s="50" t="s">
        <v>99</v>
      </c>
      <c r="D203" s="51" t="s">
        <v>100</v>
      </c>
      <c r="E203" s="55">
        <f t="shared" si="4"/>
        <v>9.135186E-3</v>
      </c>
    </row>
    <row r="204" spans="1:6">
      <c r="A204" s="48" t="s">
        <v>104</v>
      </c>
      <c r="B204" s="49"/>
      <c r="C204" s="50"/>
      <c r="D204" s="48"/>
      <c r="E204" s="54">
        <f>SUM(E196:E203)</f>
        <v>7.3425350190000002E-2</v>
      </c>
    </row>
    <row r="205" spans="1:6">
      <c r="B205" s="57"/>
      <c r="C205" s="3"/>
      <c r="E205" s="24"/>
    </row>
    <row r="206" spans="1:6">
      <c r="A206" t="s">
        <v>105</v>
      </c>
      <c r="B206" s="57"/>
      <c r="C206" s="3"/>
      <c r="E206" s="24"/>
    </row>
    <row r="207" spans="1:6">
      <c r="A207" t="s">
        <v>106</v>
      </c>
      <c r="B207" s="57"/>
      <c r="C207" s="3"/>
      <c r="E207" s="24"/>
    </row>
    <row r="208" spans="1:6">
      <c r="A208" t="s">
        <v>107</v>
      </c>
      <c r="B208" s="57"/>
      <c r="C208" s="3"/>
      <c r="E208" s="24"/>
    </row>
    <row r="209" spans="1:7">
      <c r="A209" t="s">
        <v>108</v>
      </c>
      <c r="B209" s="57"/>
      <c r="C209" s="3"/>
      <c r="E209" s="24"/>
    </row>
    <row r="210" spans="1:7">
      <c r="B210" s="57"/>
      <c r="C210" s="3"/>
      <c r="E210" s="24"/>
    </row>
    <row r="212" spans="1:7">
      <c r="A212" s="58" t="s">
        <v>127</v>
      </c>
    </row>
    <row r="214" spans="1:7">
      <c r="A214" s="50" t="s">
        <v>77</v>
      </c>
      <c r="B214" s="50" t="s">
        <v>78</v>
      </c>
      <c r="C214" s="50" t="s">
        <v>79</v>
      </c>
      <c r="D214" s="50" t="s">
        <v>80</v>
      </c>
      <c r="E214" s="50" t="s">
        <v>81</v>
      </c>
      <c r="F214" s="59" t="s">
        <v>111</v>
      </c>
      <c r="G214" s="50" t="s">
        <v>112</v>
      </c>
    </row>
    <row r="215" spans="1:7">
      <c r="A215" s="228" t="s">
        <v>61</v>
      </c>
      <c r="B215" s="233"/>
      <c r="C215" s="233"/>
      <c r="D215" s="233"/>
      <c r="E215" s="233"/>
      <c r="F215" s="233"/>
      <c r="G215" s="229"/>
    </row>
    <row r="216" spans="1:7">
      <c r="A216" s="60" t="e">
        <f>E185</f>
        <v>#REF!</v>
      </c>
      <c r="B216" s="60" t="e">
        <f>E186</f>
        <v>#REF!</v>
      </c>
      <c r="C216" s="60" t="e">
        <f>E187</f>
        <v>#REF!</v>
      </c>
      <c r="D216" s="61" t="e">
        <f>E188</f>
        <v>#REF!</v>
      </c>
      <c r="E216" s="61" t="e">
        <f>E189</f>
        <v>#REF!</v>
      </c>
      <c r="F216" s="60">
        <f>SUM(E192:E194)</f>
        <v>6395.5669500000004</v>
      </c>
      <c r="G216" s="54">
        <f>E204</f>
        <v>7.3425350190000002E-2</v>
      </c>
    </row>
  </sheetData>
  <mergeCells count="14">
    <mergeCell ref="A191:E191"/>
    <mergeCell ref="A195:E195"/>
    <mergeCell ref="A215:G215"/>
    <mergeCell ref="A139:E139"/>
    <mergeCell ref="A143:E143"/>
    <mergeCell ref="A163:G163"/>
    <mergeCell ref="A182:A183"/>
    <mergeCell ref="B182:D182"/>
    <mergeCell ref="E182:E183"/>
    <mergeCell ref="A21:C21"/>
    <mergeCell ref="A30:C30"/>
    <mergeCell ref="A36:E36"/>
    <mergeCell ref="F36:G36"/>
    <mergeCell ref="A184:E184"/>
  </mergeCells>
  <printOptions horizontalCentered="1"/>
  <pageMargins left="0.75" right="0.75" top="1" bottom="1" header="0.5" footer="0.5"/>
  <pageSetup scale="52" orientation="portrait" horizontalDpi="4294967292" verticalDpi="4294967292" r:id="rId1"/>
  <headerFooter>
    <oddFooter>&amp;L&amp;"Calibri,Regular"&amp;K000000&amp;D</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84439-97F2-DD4A-A78A-734E782FE0BB}">
  <sheetPr>
    <tabColor rgb="FF008000"/>
    <pageSetUpPr fitToPage="1"/>
  </sheetPr>
  <dimension ref="A1:K216"/>
  <sheetViews>
    <sheetView zoomScale="88" zoomScaleNormal="88" workbookViewId="0">
      <selection activeCell="H6" sqref="H6:H11"/>
    </sheetView>
  </sheetViews>
  <sheetFormatPr defaultColWidth="11" defaultRowHeight="15.5"/>
  <cols>
    <col min="1" max="1" width="33.5" customWidth="1"/>
    <col min="2" max="2" width="15.83203125" customWidth="1"/>
    <col min="3" max="3" width="15.33203125" customWidth="1"/>
    <col min="4" max="10" width="9.6640625" customWidth="1"/>
    <col min="13" max="13" width="12.6640625" customWidth="1"/>
    <col min="14" max="14" width="14" customWidth="1"/>
  </cols>
  <sheetData>
    <row r="1" spans="1:11" ht="21">
      <c r="A1" s="10"/>
      <c r="B1" s="11"/>
      <c r="C1" s="12"/>
      <c r="D1" s="12"/>
      <c r="E1" s="12"/>
      <c r="F1" s="13"/>
    </row>
    <row r="3" spans="1:11">
      <c r="A3" s="14"/>
    </row>
    <row r="4" spans="1:11" ht="18">
      <c r="A4" s="15" t="s">
        <v>286</v>
      </c>
    </row>
    <row r="6" spans="1:11" s="20" customFormat="1">
      <c r="A6" s="16" t="s">
        <v>134</v>
      </c>
      <c r="B6" s="17">
        <v>2</v>
      </c>
      <c r="C6" s="18"/>
      <c r="D6" s="19"/>
      <c r="G6"/>
      <c r="H6" s="66"/>
      <c r="I6"/>
      <c r="J6"/>
      <c r="K6"/>
    </row>
    <row r="7" spans="1:11" s="20" customFormat="1">
      <c r="A7" s="18" t="s">
        <v>62</v>
      </c>
      <c r="B7" s="26">
        <v>0.16</v>
      </c>
      <c r="C7" s="18" t="s">
        <v>63</v>
      </c>
      <c r="D7" s="19"/>
      <c r="F7"/>
      <c r="G7"/>
      <c r="H7"/>
      <c r="I7"/>
      <c r="J7"/>
      <c r="K7"/>
    </row>
    <row r="8" spans="1:11">
      <c r="A8" s="18" t="s">
        <v>64</v>
      </c>
      <c r="B8" s="22">
        <v>1020</v>
      </c>
      <c r="C8" t="s">
        <v>65</v>
      </c>
    </row>
    <row r="9" spans="1:11">
      <c r="A9" s="18" t="s">
        <v>66</v>
      </c>
      <c r="B9" s="22">
        <v>24</v>
      </c>
    </row>
    <row r="10" spans="1:11">
      <c r="A10" s="18" t="s">
        <v>67</v>
      </c>
      <c r="B10" s="17">
        <v>8760</v>
      </c>
    </row>
    <row r="11" spans="1:11">
      <c r="A11" s="18" t="s">
        <v>129</v>
      </c>
      <c r="B11" s="23">
        <v>0.06</v>
      </c>
      <c r="H11" s="66"/>
    </row>
    <row r="12" spans="1:11" ht="15.75" customHeight="1">
      <c r="A12" s="18" t="s">
        <v>68</v>
      </c>
      <c r="B12" s="24">
        <f>B6*B7*B10*B11</f>
        <v>168.19200000000001</v>
      </c>
      <c r="C12" t="s">
        <v>69</v>
      </c>
      <c r="D12" s="25"/>
    </row>
    <row r="13" spans="1:11" ht="15.75" customHeight="1">
      <c r="A13" s="18" t="s">
        <v>68</v>
      </c>
      <c r="B13" s="27">
        <f>B12/B8</f>
        <v>0.16489411764705883</v>
      </c>
      <c r="C13" t="s">
        <v>70</v>
      </c>
      <c r="D13" s="25"/>
    </row>
    <row r="14" spans="1:11">
      <c r="A14" s="18"/>
      <c r="B14" s="22"/>
    </row>
    <row r="15" spans="1:11" ht="15.75" customHeight="1">
      <c r="A15" s="18"/>
      <c r="B15" s="24"/>
      <c r="D15" s="25"/>
    </row>
    <row r="16" spans="1:11" s="20" customFormat="1">
      <c r="A16" s="16" t="s">
        <v>128</v>
      </c>
      <c r="B16" s="17"/>
      <c r="C16" s="18"/>
      <c r="D16" s="19"/>
    </row>
    <row r="17" spans="1:4" ht="15.75" customHeight="1">
      <c r="A17" s="18" t="s">
        <v>71</v>
      </c>
      <c r="B17" s="24">
        <f>B12</f>
        <v>168.19200000000001</v>
      </c>
      <c r="C17" t="s">
        <v>69</v>
      </c>
      <c r="D17" s="25"/>
    </row>
    <row r="18" spans="1:4" ht="15.75" customHeight="1">
      <c r="A18" s="18" t="s">
        <v>71</v>
      </c>
      <c r="B18" s="24">
        <f>B13</f>
        <v>0.16489411764705883</v>
      </c>
      <c r="C18" t="s">
        <v>70</v>
      </c>
      <c r="D18" s="25"/>
    </row>
    <row r="19" spans="1:4" ht="15.75" customHeight="1">
      <c r="A19" s="18" t="s">
        <v>72</v>
      </c>
      <c r="B19" s="160">
        <f>B6*B7/B8*B9</f>
        <v>7.5294117647058826E-3</v>
      </c>
      <c r="C19" t="s">
        <v>73</v>
      </c>
      <c r="D19" s="25"/>
    </row>
    <row r="20" spans="1:4" ht="15.75" customHeight="1">
      <c r="A20" s="18"/>
      <c r="B20" s="24"/>
      <c r="D20" s="28"/>
    </row>
    <row r="21" spans="1:4" ht="18" customHeight="1">
      <c r="A21" s="241" t="s">
        <v>74</v>
      </c>
      <c r="B21" s="241"/>
      <c r="C21" s="241"/>
    </row>
    <row r="22" spans="1:4" ht="47" customHeight="1">
      <c r="A22" s="29" t="s">
        <v>75</v>
      </c>
      <c r="B22" s="30" t="s">
        <v>76</v>
      </c>
      <c r="C22" s="29" t="s">
        <v>130</v>
      </c>
    </row>
    <row r="23" spans="1:4" ht="15.75" customHeight="1">
      <c r="A23" s="31" t="s">
        <v>77</v>
      </c>
      <c r="B23" s="31">
        <v>100</v>
      </c>
      <c r="C23" s="67">
        <f>B23*$B$18/2000</f>
        <v>8.2447058823529405E-3</v>
      </c>
    </row>
    <row r="24" spans="1:4" ht="15.75" customHeight="1">
      <c r="A24" s="31" t="s">
        <v>78</v>
      </c>
      <c r="B24" s="31">
        <v>84</v>
      </c>
      <c r="C24" s="67">
        <f>B24*$B$18/2000</f>
        <v>6.9255529411764707E-3</v>
      </c>
    </row>
    <row r="25" spans="1:4" ht="15.75" customHeight="1">
      <c r="A25" s="31" t="s">
        <v>79</v>
      </c>
      <c r="B25" s="31">
        <v>5.5</v>
      </c>
      <c r="C25" s="44">
        <f>B25*$B$18/2000</f>
        <v>4.5345882352941183E-4</v>
      </c>
    </row>
    <row r="26" spans="1:4" ht="15.75" customHeight="1">
      <c r="A26" s="31" t="s">
        <v>80</v>
      </c>
      <c r="B26" s="31">
        <v>2.5</v>
      </c>
      <c r="C26" s="44">
        <f>B26*$B$18/2000</f>
        <v>2.0611764705882353E-4</v>
      </c>
    </row>
    <row r="27" spans="1:4">
      <c r="A27" s="31" t="s">
        <v>81</v>
      </c>
      <c r="B27" s="31">
        <v>2.6</v>
      </c>
      <c r="C27" s="44">
        <f>B27*$B$18/2000</f>
        <v>2.1436235294117648E-4</v>
      </c>
    </row>
    <row r="28" spans="1:4">
      <c r="A28" s="35" t="s">
        <v>82</v>
      </c>
      <c r="B28" s="36"/>
      <c r="C28" s="37"/>
    </row>
    <row r="29" spans="1:4">
      <c r="A29" s="38"/>
      <c r="B29" s="38"/>
      <c r="C29" s="39"/>
    </row>
    <row r="30" spans="1:4" ht="18" customHeight="1">
      <c r="A30" s="241" t="s">
        <v>83</v>
      </c>
      <c r="B30" s="241"/>
      <c r="C30" s="241"/>
    </row>
    <row r="31" spans="1:4" ht="49" customHeight="1">
      <c r="A31" s="29" t="s">
        <v>75</v>
      </c>
      <c r="B31" s="30" t="s">
        <v>84</v>
      </c>
      <c r="C31" s="29" t="s">
        <v>130</v>
      </c>
    </row>
    <row r="32" spans="1:4">
      <c r="A32" s="31" t="s">
        <v>85</v>
      </c>
      <c r="B32" s="31">
        <v>53.114800000000002</v>
      </c>
      <c r="C32" s="33">
        <f>(B32*B17/1000)*1.10231</f>
        <v>9.8474692348200961</v>
      </c>
    </row>
    <row r="33" spans="1:9">
      <c r="A33" s="35" t="s">
        <v>86</v>
      </c>
      <c r="B33" s="36"/>
      <c r="C33" s="37"/>
    </row>
    <row r="34" spans="1:9">
      <c r="C34" s="26"/>
    </row>
    <row r="35" spans="1:9">
      <c r="C35" s="26"/>
    </row>
    <row r="36" spans="1:9" ht="18" customHeight="1">
      <c r="A36" s="242" t="s">
        <v>87</v>
      </c>
      <c r="B36" s="243"/>
      <c r="C36" s="243"/>
      <c r="D36" s="243"/>
      <c r="E36" s="244"/>
      <c r="F36" s="245" t="s">
        <v>131</v>
      </c>
      <c r="G36" s="246"/>
    </row>
    <row r="37" spans="1:9" ht="52" customHeight="1">
      <c r="A37" s="40" t="s">
        <v>75</v>
      </c>
      <c r="B37" s="40" t="s">
        <v>88</v>
      </c>
      <c r="C37" s="41" t="s">
        <v>76</v>
      </c>
      <c r="D37" s="64" t="s">
        <v>132</v>
      </c>
      <c r="E37" s="64" t="s">
        <v>133</v>
      </c>
      <c r="F37" s="64" t="s">
        <v>132</v>
      </c>
      <c r="G37" s="64" t="s">
        <v>133</v>
      </c>
      <c r="I37" s="43"/>
    </row>
    <row r="38" spans="1:9">
      <c r="A38" s="31" t="s">
        <v>12</v>
      </c>
      <c r="B38" s="31" t="s">
        <v>11</v>
      </c>
      <c r="C38" s="31">
        <v>8.0000000000000002E-3</v>
      </c>
      <c r="D38" s="44">
        <f t="shared" ref="D38:D64" si="0">C38*$B$19</f>
        <v>6.0235294117647062E-5</v>
      </c>
      <c r="E38" s="34">
        <f t="shared" ref="E38:E64" si="1">C38*$B$18</f>
        <v>1.3191529411764706E-3</v>
      </c>
      <c r="F38" s="45">
        <f t="shared" ref="F38:G64" si="2">D38/$B$6</f>
        <v>3.0117647058823531E-5</v>
      </c>
      <c r="G38" s="45">
        <f t="shared" si="2"/>
        <v>6.5957647058823531E-4</v>
      </c>
    </row>
    <row r="39" spans="1:9">
      <c r="A39" s="31" t="s">
        <v>29</v>
      </c>
      <c r="B39" s="31" t="s">
        <v>28</v>
      </c>
      <c r="C39" s="31">
        <v>1.7000000000000001E-2</v>
      </c>
      <c r="D39" s="44">
        <f t="shared" si="0"/>
        <v>1.2800000000000002E-4</v>
      </c>
      <c r="E39" s="34">
        <f t="shared" si="1"/>
        <v>2.8032000000000005E-3</v>
      </c>
      <c r="F39" s="45">
        <f t="shared" si="2"/>
        <v>6.4000000000000011E-5</v>
      </c>
      <c r="G39" s="45">
        <f t="shared" si="2"/>
        <v>1.4016000000000002E-3</v>
      </c>
    </row>
    <row r="40" spans="1:9">
      <c r="A40" s="31" t="s">
        <v>47</v>
      </c>
      <c r="B40" s="31">
        <v>401</v>
      </c>
      <c r="C40" s="31">
        <v>1E-4</v>
      </c>
      <c r="D40" s="44">
        <f t="shared" si="0"/>
        <v>7.5294117647058831E-7</v>
      </c>
      <c r="E40" s="34">
        <f t="shared" si="1"/>
        <v>1.6489411764705883E-5</v>
      </c>
      <c r="F40" s="45">
        <f t="shared" si="2"/>
        <v>3.7647058823529416E-7</v>
      </c>
      <c r="G40" s="45">
        <f t="shared" si="2"/>
        <v>8.2447058823529417E-6</v>
      </c>
    </row>
    <row r="41" spans="1:9">
      <c r="A41" s="31" t="s">
        <v>14</v>
      </c>
      <c r="B41" s="31" t="s">
        <v>13</v>
      </c>
      <c r="C41" s="31">
        <v>1.1999999999999999E-6</v>
      </c>
      <c r="D41" s="44">
        <f t="shared" si="0"/>
        <v>9.0352941176470586E-9</v>
      </c>
      <c r="E41" s="34">
        <f t="shared" si="1"/>
        <v>1.9787294117647059E-7</v>
      </c>
      <c r="F41" s="45">
        <f t="shared" si="2"/>
        <v>4.5176470588235293E-9</v>
      </c>
      <c r="G41" s="45">
        <f t="shared" si="2"/>
        <v>9.8936470588235296E-8</v>
      </c>
    </row>
    <row r="42" spans="1:9">
      <c r="A42" s="31" t="s">
        <v>42</v>
      </c>
      <c r="B42" s="31" t="s">
        <v>41</v>
      </c>
      <c r="C42" s="31">
        <v>2.9999999999999997E-4</v>
      </c>
      <c r="D42" s="44">
        <f t="shared" si="0"/>
        <v>2.2588235294117647E-6</v>
      </c>
      <c r="E42" s="34">
        <f t="shared" si="1"/>
        <v>4.9468235294117647E-5</v>
      </c>
      <c r="F42" s="45">
        <f t="shared" si="2"/>
        <v>1.1294117647058824E-6</v>
      </c>
      <c r="G42" s="45">
        <f t="shared" si="2"/>
        <v>2.4734117647058823E-5</v>
      </c>
    </row>
    <row r="43" spans="1:9">
      <c r="A43" s="31" t="s">
        <v>2</v>
      </c>
      <c r="B43" s="31" t="s">
        <v>1</v>
      </c>
      <c r="C43" s="31">
        <v>4.3E-3</v>
      </c>
      <c r="D43" s="44">
        <f t="shared" si="0"/>
        <v>3.2376470588235293E-5</v>
      </c>
      <c r="E43" s="34">
        <f t="shared" si="1"/>
        <v>7.0904470588235293E-4</v>
      </c>
      <c r="F43" s="45">
        <f t="shared" si="2"/>
        <v>1.6188235294117647E-5</v>
      </c>
      <c r="G43" s="45">
        <f t="shared" si="2"/>
        <v>3.5452235294117647E-4</v>
      </c>
    </row>
    <row r="44" spans="1:9">
      <c r="A44" s="31" t="s">
        <v>4</v>
      </c>
      <c r="B44" s="31" t="s">
        <v>3</v>
      </c>
      <c r="C44" s="31">
        <v>2.7000000000000001E-3</v>
      </c>
      <c r="D44" s="44">
        <f t="shared" si="0"/>
        <v>2.0329411764705884E-5</v>
      </c>
      <c r="E44" s="34">
        <f t="shared" si="1"/>
        <v>4.4521411764705885E-4</v>
      </c>
      <c r="F44" s="45">
        <f t="shared" si="2"/>
        <v>1.0164705882352942E-5</v>
      </c>
      <c r="G44" s="45">
        <f t="shared" si="2"/>
        <v>2.2260705882352943E-4</v>
      </c>
    </row>
    <row r="45" spans="1:9">
      <c r="A45" s="31" t="s">
        <v>6</v>
      </c>
      <c r="B45" s="31" t="s">
        <v>5</v>
      </c>
      <c r="C45" s="31">
        <v>3.2</v>
      </c>
      <c r="D45" s="44">
        <f t="shared" si="0"/>
        <v>2.4094117647058825E-2</v>
      </c>
      <c r="E45" s="34">
        <f t="shared" si="1"/>
        <v>0.5276611764705883</v>
      </c>
      <c r="F45" s="45">
        <f t="shared" si="2"/>
        <v>1.2047058823529412E-2</v>
      </c>
      <c r="G45" s="45">
        <f t="shared" si="2"/>
        <v>0.26383058823529415</v>
      </c>
    </row>
    <row r="46" spans="1:9">
      <c r="A46" s="31" t="s">
        <v>8</v>
      </c>
      <c r="B46" s="31" t="s">
        <v>7</v>
      </c>
      <c r="C46" s="31">
        <v>2.0000000000000001E-4</v>
      </c>
      <c r="D46" s="44">
        <f t="shared" si="0"/>
        <v>1.5058823529411766E-6</v>
      </c>
      <c r="E46" s="34">
        <f t="shared" si="1"/>
        <v>3.2978823529411767E-5</v>
      </c>
      <c r="F46" s="45">
        <f t="shared" si="2"/>
        <v>7.5294117647058831E-7</v>
      </c>
      <c r="G46" s="45">
        <f t="shared" si="2"/>
        <v>1.6489411764705883E-5</v>
      </c>
    </row>
    <row r="47" spans="1:9">
      <c r="A47" s="31" t="s">
        <v>10</v>
      </c>
      <c r="B47" s="31" t="s">
        <v>9</v>
      </c>
      <c r="C47" s="31">
        <v>4.4000000000000003E-3</v>
      </c>
      <c r="D47" s="44">
        <f t="shared" si="0"/>
        <v>3.3129411764705883E-5</v>
      </c>
      <c r="E47" s="34">
        <f t="shared" si="1"/>
        <v>7.2553411764705888E-4</v>
      </c>
      <c r="F47" s="45">
        <f t="shared" si="2"/>
        <v>1.6564705882352942E-5</v>
      </c>
      <c r="G47" s="45">
        <f t="shared" si="2"/>
        <v>3.6276705882352944E-4</v>
      </c>
    </row>
    <row r="48" spans="1:9">
      <c r="A48" s="31" t="s">
        <v>16</v>
      </c>
      <c r="B48" s="31" t="s">
        <v>15</v>
      </c>
      <c r="C48" s="31">
        <v>1.2E-5</v>
      </c>
      <c r="D48" s="44">
        <f t="shared" si="0"/>
        <v>9.0352941176470592E-8</v>
      </c>
      <c r="E48" s="34">
        <f t="shared" si="1"/>
        <v>1.9787294117647059E-6</v>
      </c>
      <c r="F48" s="45">
        <f t="shared" si="2"/>
        <v>4.5176470588235296E-8</v>
      </c>
      <c r="G48" s="45">
        <f t="shared" si="2"/>
        <v>9.8936470588235293E-7</v>
      </c>
    </row>
    <row r="49" spans="1:7">
      <c r="A49" s="31" t="s">
        <v>18</v>
      </c>
      <c r="B49" s="46" t="s">
        <v>17</v>
      </c>
      <c r="C49" s="31">
        <v>1.1000000000000001E-3</v>
      </c>
      <c r="D49" s="44">
        <f t="shared" si="0"/>
        <v>8.2823529411764708E-6</v>
      </c>
      <c r="E49" s="34">
        <f t="shared" si="1"/>
        <v>1.8138352941176472E-4</v>
      </c>
      <c r="F49" s="45">
        <f t="shared" si="2"/>
        <v>4.1411764705882354E-6</v>
      </c>
      <c r="G49" s="45">
        <f t="shared" si="2"/>
        <v>9.069176470588236E-5</v>
      </c>
    </row>
    <row r="50" spans="1:7">
      <c r="A50" s="31" t="s">
        <v>20</v>
      </c>
      <c r="B50" s="31" t="s">
        <v>19</v>
      </c>
      <c r="C50" s="31">
        <v>1.4E-3</v>
      </c>
      <c r="D50" s="44">
        <f t="shared" si="0"/>
        <v>1.0541176470588235E-5</v>
      </c>
      <c r="E50" s="34">
        <f t="shared" si="1"/>
        <v>2.3085176470588235E-4</v>
      </c>
      <c r="F50" s="45">
        <f t="shared" si="2"/>
        <v>5.2705882352941176E-6</v>
      </c>
      <c r="G50" s="45">
        <f t="shared" si="2"/>
        <v>1.1542588235294117E-4</v>
      </c>
    </row>
    <row r="51" spans="1:7">
      <c r="A51" s="31" t="s">
        <v>22</v>
      </c>
      <c r="B51" s="31" t="s">
        <v>21</v>
      </c>
      <c r="C51" s="31">
        <v>8.3999999999999995E-5</v>
      </c>
      <c r="D51" s="44">
        <f t="shared" si="0"/>
        <v>6.3247058823529412E-7</v>
      </c>
      <c r="E51" s="34">
        <f t="shared" si="1"/>
        <v>1.3851105882352941E-5</v>
      </c>
      <c r="F51" s="45">
        <f t="shared" si="2"/>
        <v>3.1623529411764706E-7</v>
      </c>
      <c r="G51" s="45">
        <f t="shared" si="2"/>
        <v>6.9255529411764705E-6</v>
      </c>
    </row>
    <row r="52" spans="1:7">
      <c r="A52" s="31" t="s">
        <v>24</v>
      </c>
      <c r="B52" s="31" t="s">
        <v>23</v>
      </c>
      <c r="C52" s="31">
        <v>8.4999999999999995E-4</v>
      </c>
      <c r="D52" s="44">
        <f t="shared" si="0"/>
        <v>6.3999999999999997E-6</v>
      </c>
      <c r="E52" s="34">
        <f t="shared" si="1"/>
        <v>1.4015999999999999E-4</v>
      </c>
      <c r="F52" s="45">
        <f t="shared" si="2"/>
        <v>3.1999999999999999E-6</v>
      </c>
      <c r="G52" s="45">
        <f t="shared" si="2"/>
        <v>7.0079999999999993E-5</v>
      </c>
    </row>
    <row r="53" spans="1:7">
      <c r="A53" s="31" t="s">
        <v>26</v>
      </c>
      <c r="B53" s="31" t="s">
        <v>25</v>
      </c>
      <c r="C53" s="31">
        <v>9.4999999999999998E-3</v>
      </c>
      <c r="D53" s="44">
        <f t="shared" si="0"/>
        <v>7.1529411764705882E-5</v>
      </c>
      <c r="E53" s="34">
        <f t="shared" si="1"/>
        <v>1.5664941176470589E-3</v>
      </c>
      <c r="F53" s="45">
        <f t="shared" si="2"/>
        <v>3.5764705882352941E-5</v>
      </c>
      <c r="G53" s="45">
        <f t="shared" si="2"/>
        <v>7.8324705882352943E-4</v>
      </c>
    </row>
    <row r="54" spans="1:7">
      <c r="A54" s="31" t="s">
        <v>31</v>
      </c>
      <c r="B54" s="31" t="s">
        <v>30</v>
      </c>
      <c r="C54" s="31">
        <v>6.3E-3</v>
      </c>
      <c r="D54" s="44">
        <f t="shared" si="0"/>
        <v>4.7435294117647062E-5</v>
      </c>
      <c r="E54" s="34">
        <f t="shared" si="1"/>
        <v>1.0388329411764707E-3</v>
      </c>
      <c r="F54" s="45">
        <f t="shared" si="2"/>
        <v>2.3717647058823531E-5</v>
      </c>
      <c r="G54" s="45">
        <f t="shared" si="2"/>
        <v>5.1941647058823535E-4</v>
      </c>
    </row>
    <row r="55" spans="1:7">
      <c r="A55" s="31" t="s">
        <v>34</v>
      </c>
      <c r="B55" s="31" t="s">
        <v>33</v>
      </c>
      <c r="C55" s="31">
        <v>5.0000000000000001E-4</v>
      </c>
      <c r="D55" s="44">
        <f t="shared" si="0"/>
        <v>3.7647058823529414E-6</v>
      </c>
      <c r="E55" s="34">
        <f t="shared" si="1"/>
        <v>8.2447058823529413E-5</v>
      </c>
      <c r="F55" s="45">
        <f t="shared" si="2"/>
        <v>1.8823529411764707E-6</v>
      </c>
      <c r="G55" s="45">
        <f t="shared" si="2"/>
        <v>4.1223529411764707E-5</v>
      </c>
    </row>
    <row r="56" spans="1:7">
      <c r="A56" s="31" t="s">
        <v>36</v>
      </c>
      <c r="B56" s="31" t="s">
        <v>35</v>
      </c>
      <c r="C56" s="31">
        <v>3.8000000000000002E-4</v>
      </c>
      <c r="D56" s="44">
        <f t="shared" si="0"/>
        <v>2.8611764705882354E-6</v>
      </c>
      <c r="E56" s="34">
        <f t="shared" si="1"/>
        <v>6.2659764705882355E-5</v>
      </c>
      <c r="F56" s="45">
        <f t="shared" si="2"/>
        <v>1.4305882352941177E-6</v>
      </c>
      <c r="G56" s="45">
        <f t="shared" si="2"/>
        <v>3.1329882352941177E-5</v>
      </c>
    </row>
    <row r="57" spans="1:7">
      <c r="A57" s="31" t="s">
        <v>38</v>
      </c>
      <c r="B57" s="31" t="s">
        <v>37</v>
      </c>
      <c r="C57" s="31">
        <v>2.5999999999999998E-4</v>
      </c>
      <c r="D57" s="44">
        <f t="shared" si="0"/>
        <v>1.9576470588235294E-6</v>
      </c>
      <c r="E57" s="34">
        <f t="shared" si="1"/>
        <v>4.2872470588235289E-5</v>
      </c>
      <c r="F57" s="45">
        <f t="shared" si="2"/>
        <v>9.788235294117647E-7</v>
      </c>
      <c r="G57" s="45">
        <f t="shared" si="2"/>
        <v>2.1436235294117645E-5</v>
      </c>
    </row>
    <row r="58" spans="1:7">
      <c r="A58" s="31" t="s">
        <v>40</v>
      </c>
      <c r="B58" s="31" t="s">
        <v>39</v>
      </c>
      <c r="C58" s="31">
        <v>1.65E-3</v>
      </c>
      <c r="D58" s="44">
        <f t="shared" si="0"/>
        <v>1.2423529411764706E-5</v>
      </c>
      <c r="E58" s="34">
        <f t="shared" si="1"/>
        <v>2.7207529411764705E-4</v>
      </c>
      <c r="F58" s="45">
        <f t="shared" si="2"/>
        <v>6.2117647058823531E-6</v>
      </c>
      <c r="G58" s="45">
        <f t="shared" si="2"/>
        <v>1.3603764705882353E-4</v>
      </c>
    </row>
    <row r="59" spans="1:7">
      <c r="A59" s="31" t="s">
        <v>44</v>
      </c>
      <c r="B59" s="31">
        <v>365</v>
      </c>
      <c r="C59" s="31">
        <v>2.0999999999999999E-3</v>
      </c>
      <c r="D59" s="44">
        <f t="shared" si="0"/>
        <v>1.5811764705882352E-5</v>
      </c>
      <c r="E59" s="34">
        <f t="shared" si="1"/>
        <v>3.4627764705882355E-4</v>
      </c>
      <c r="F59" s="45">
        <f t="shared" si="2"/>
        <v>7.9058823529411759E-6</v>
      </c>
      <c r="G59" s="45">
        <f t="shared" si="2"/>
        <v>1.7313882352941177E-4</v>
      </c>
    </row>
    <row r="60" spans="1:7">
      <c r="A60" s="31" t="s">
        <v>51</v>
      </c>
      <c r="B60" s="31" t="s">
        <v>50</v>
      </c>
      <c r="C60" s="31">
        <v>2.4000000000000001E-5</v>
      </c>
      <c r="D60" s="44">
        <f t="shared" si="0"/>
        <v>1.8070588235294118E-7</v>
      </c>
      <c r="E60" s="34">
        <f t="shared" si="1"/>
        <v>3.9574588235294117E-6</v>
      </c>
      <c r="F60" s="45">
        <f t="shared" si="2"/>
        <v>9.0352941176470592E-8</v>
      </c>
      <c r="G60" s="45">
        <f t="shared" si="2"/>
        <v>1.9787294117647059E-6</v>
      </c>
    </row>
    <row r="61" spans="1:7">
      <c r="A61" s="31" t="s">
        <v>53</v>
      </c>
      <c r="B61" s="31" t="s">
        <v>52</v>
      </c>
      <c r="C61" s="31">
        <v>3.6600000000000001E-2</v>
      </c>
      <c r="D61" s="44">
        <f t="shared" si="0"/>
        <v>2.755764705882353E-4</v>
      </c>
      <c r="E61" s="34">
        <f t="shared" si="1"/>
        <v>6.0351247058823537E-3</v>
      </c>
      <c r="F61" s="45">
        <f t="shared" si="2"/>
        <v>1.3778823529411765E-4</v>
      </c>
      <c r="G61" s="45">
        <f t="shared" si="2"/>
        <v>3.0175623529411768E-3</v>
      </c>
    </row>
    <row r="62" spans="1:7">
      <c r="A62" s="31" t="s">
        <v>55</v>
      </c>
      <c r="B62" s="31" t="s">
        <v>54</v>
      </c>
      <c r="C62" s="31">
        <v>2.3E-3</v>
      </c>
      <c r="D62" s="44">
        <f t="shared" si="0"/>
        <v>1.7317647058823528E-5</v>
      </c>
      <c r="E62" s="34">
        <f t="shared" si="1"/>
        <v>3.7925647058823528E-4</v>
      </c>
      <c r="F62" s="45">
        <f t="shared" si="2"/>
        <v>8.658823529411764E-6</v>
      </c>
      <c r="G62" s="45">
        <f t="shared" si="2"/>
        <v>1.8962823529411764E-4</v>
      </c>
    </row>
    <row r="63" spans="1:7">
      <c r="A63" s="31" t="s">
        <v>57</v>
      </c>
      <c r="B63" s="31" t="s">
        <v>56</v>
      </c>
      <c r="C63" s="31">
        <v>2.7199999999999998E-2</v>
      </c>
      <c r="D63" s="44">
        <f t="shared" si="0"/>
        <v>2.0479999999999999E-4</v>
      </c>
      <c r="E63" s="34">
        <f t="shared" si="1"/>
        <v>4.4851199999999996E-3</v>
      </c>
      <c r="F63" s="45">
        <f t="shared" si="2"/>
        <v>1.024E-4</v>
      </c>
      <c r="G63" s="45">
        <f t="shared" si="2"/>
        <v>2.2425599999999998E-3</v>
      </c>
    </row>
    <row r="64" spans="1:7">
      <c r="A64" s="31" t="s">
        <v>59</v>
      </c>
      <c r="B64" s="31" t="s">
        <v>58</v>
      </c>
      <c r="C64" s="31">
        <v>2.9000000000000001E-2</v>
      </c>
      <c r="D64" s="44">
        <f t="shared" si="0"/>
        <v>2.1835294117647061E-4</v>
      </c>
      <c r="E64" s="34">
        <f t="shared" si="1"/>
        <v>4.7819294117647064E-3</v>
      </c>
      <c r="F64" s="45">
        <f t="shared" si="2"/>
        <v>1.091764705882353E-4</v>
      </c>
      <c r="G64" s="45">
        <f t="shared" si="2"/>
        <v>2.3909647058823532E-3</v>
      </c>
    </row>
    <row r="65" spans="1:7">
      <c r="A65" s="31" t="s">
        <v>89</v>
      </c>
      <c r="B65" s="31"/>
      <c r="C65" s="31"/>
      <c r="D65" s="47">
        <f>SUM(D38:D64)</f>
        <v>2.5270672564705884E-2</v>
      </c>
      <c r="E65" s="47">
        <f>SUM(E38:E64)</f>
        <v>0.55342772916705874</v>
      </c>
      <c r="F65" s="47">
        <f>SUM(F38:F64)</f>
        <v>1.2635336282352942E-2</v>
      </c>
      <c r="G65" s="47">
        <f>SUM(G38:G64)</f>
        <v>0.27671386458352937</v>
      </c>
    </row>
    <row r="139" spans="1:8">
      <c r="A139" s="230" t="s">
        <v>90</v>
      </c>
      <c r="B139" s="231"/>
      <c r="C139" s="231"/>
      <c r="D139" s="231"/>
      <c r="E139" s="232"/>
    </row>
    <row r="140" spans="1:8">
      <c r="A140" s="48" t="s">
        <v>91</v>
      </c>
      <c r="B140" s="49">
        <v>1.04E-5</v>
      </c>
      <c r="C140" s="63" t="s">
        <v>92</v>
      </c>
      <c r="D140" s="51" t="s">
        <v>93</v>
      </c>
      <c r="E140" s="52" t="e">
        <f>B140*#REF!</f>
        <v>#REF!</v>
      </c>
      <c r="F140" t="s">
        <v>94</v>
      </c>
    </row>
    <row r="141" spans="1:8">
      <c r="A141" s="48" t="s">
        <v>95</v>
      </c>
      <c r="B141" s="49">
        <v>1.0206E-2</v>
      </c>
      <c r="C141" s="63" t="s">
        <v>92</v>
      </c>
      <c r="D141" s="51" t="s">
        <v>93</v>
      </c>
      <c r="E141" s="52" t="e">
        <f>B141*#REF!</f>
        <v>#REF!</v>
      </c>
      <c r="F141" t="s">
        <v>94</v>
      </c>
    </row>
    <row r="142" spans="1:8">
      <c r="A142" s="48" t="s">
        <v>96</v>
      </c>
      <c r="B142" s="49">
        <v>2.4700000000000001E-5</v>
      </c>
      <c r="C142" s="63" t="s">
        <v>92</v>
      </c>
      <c r="D142" s="51" t="s">
        <v>93</v>
      </c>
      <c r="E142" s="53" t="e">
        <f>B142*#REF!</f>
        <v>#REF!</v>
      </c>
      <c r="F142" t="s">
        <v>94</v>
      </c>
      <c r="G142" s="24" t="e">
        <f>SUM(E140:E142)</f>
        <v>#REF!</v>
      </c>
      <c r="H142" t="s">
        <v>94</v>
      </c>
    </row>
    <row r="143" spans="1:8">
      <c r="A143" s="230" t="s">
        <v>97</v>
      </c>
      <c r="B143" s="231"/>
      <c r="C143" s="231"/>
      <c r="D143" s="231"/>
      <c r="E143" s="232"/>
      <c r="G143" t="e">
        <f>G142*1.10231</f>
        <v>#REF!</v>
      </c>
      <c r="H143" t="s">
        <v>98</v>
      </c>
    </row>
    <row r="144" spans="1:8">
      <c r="A144" s="48" t="s">
        <v>12</v>
      </c>
      <c r="B144" s="49">
        <v>7.76E-4</v>
      </c>
      <c r="C144" s="63" t="s">
        <v>99</v>
      </c>
      <c r="D144" s="51" t="s">
        <v>100</v>
      </c>
      <c r="E144" s="54" t="e">
        <f>B144*#REF!*#REF!/1000000/2000</f>
        <v>#REF!</v>
      </c>
    </row>
    <row r="145" spans="1:8">
      <c r="A145" s="48" t="s">
        <v>53</v>
      </c>
      <c r="B145" s="49">
        <v>2.81E-4</v>
      </c>
      <c r="C145" s="63" t="s">
        <v>99</v>
      </c>
      <c r="D145" s="51" t="s">
        <v>100</v>
      </c>
      <c r="E145" s="55" t="e">
        <f>B145*#REF!*#REF!/1000000/2000</f>
        <v>#REF!</v>
      </c>
      <c r="G145">
        <v>2490</v>
      </c>
    </row>
    <row r="146" spans="1:8">
      <c r="A146" s="48" t="s">
        <v>101</v>
      </c>
      <c r="B146" s="49">
        <v>1.93E-4</v>
      </c>
      <c r="C146" s="63" t="s">
        <v>99</v>
      </c>
      <c r="D146" s="51" t="s">
        <v>100</v>
      </c>
      <c r="E146" s="55" t="e">
        <f>B146*#REF!*#REF!/1000000/2000</f>
        <v>#REF!</v>
      </c>
      <c r="G146">
        <f>G145*1.10231</f>
        <v>2744.7518999999998</v>
      </c>
      <c r="H146" t="s">
        <v>98</v>
      </c>
    </row>
    <row r="147" spans="1:8">
      <c r="A147" s="48" t="s">
        <v>29</v>
      </c>
      <c r="B147" s="49">
        <v>7.8899999999999993E-5</v>
      </c>
      <c r="C147" s="63" t="s">
        <v>99</v>
      </c>
      <c r="D147" s="51" t="s">
        <v>100</v>
      </c>
      <c r="E147" s="55" t="e">
        <f>B147*#REF!*#REF!/1000000/2000</f>
        <v>#REF!</v>
      </c>
    </row>
    <row r="148" spans="1:8">
      <c r="A148" s="48" t="s">
        <v>2</v>
      </c>
      <c r="B148" s="49">
        <v>2.5199999999999999E-5</v>
      </c>
      <c r="C148" s="63" t="s">
        <v>99</v>
      </c>
      <c r="D148" s="51" t="s">
        <v>100</v>
      </c>
      <c r="E148" s="56" t="e">
        <f>B148*#REF!*#REF!/1000000/2000</f>
        <v>#REF!</v>
      </c>
    </row>
    <row r="149" spans="1:8">
      <c r="A149" s="48" t="s">
        <v>4</v>
      </c>
      <c r="B149" s="49">
        <v>7.8800000000000008E-6</v>
      </c>
      <c r="C149" s="63" t="s">
        <v>99</v>
      </c>
      <c r="D149" s="51" t="s">
        <v>100</v>
      </c>
      <c r="E149" s="56" t="e">
        <f>B149*#REF!*#REF!/1000000/2000</f>
        <v>#REF!</v>
      </c>
    </row>
    <row r="150" spans="1:8">
      <c r="A150" s="48" t="s">
        <v>102</v>
      </c>
      <c r="B150" s="49">
        <v>1.2999999999999999E-4</v>
      </c>
      <c r="C150" s="63" t="s">
        <v>99</v>
      </c>
      <c r="D150" s="51" t="s">
        <v>100</v>
      </c>
      <c r="E150" s="55" t="e">
        <f>B150*#REF!*#REF!/1000000/2000</f>
        <v>#REF!</v>
      </c>
    </row>
    <row r="151" spans="1:8">
      <c r="A151" s="48" t="s">
        <v>103</v>
      </c>
      <c r="B151" s="49">
        <v>2.12E-4</v>
      </c>
      <c r="C151" s="63" t="s">
        <v>99</v>
      </c>
      <c r="D151" s="51" t="s">
        <v>100</v>
      </c>
      <c r="E151" s="55" t="e">
        <f>B151*#REF!*#REF!/1000000/2000</f>
        <v>#REF!</v>
      </c>
    </row>
    <row r="152" spans="1:8">
      <c r="A152" s="48" t="s">
        <v>104</v>
      </c>
      <c r="B152" s="49"/>
      <c r="C152" s="63"/>
      <c r="D152" s="48"/>
      <c r="E152" s="54" t="e">
        <f>SUM(E144:E151)</f>
        <v>#REF!</v>
      </c>
    </row>
    <row r="153" spans="1:8">
      <c r="B153" s="57"/>
      <c r="C153" s="3"/>
      <c r="E153" s="24"/>
    </row>
    <row r="154" spans="1:8">
      <c r="A154" t="s">
        <v>105</v>
      </c>
      <c r="B154" s="57"/>
      <c r="C154" s="3"/>
      <c r="E154" s="24"/>
    </row>
    <row r="155" spans="1:8">
      <c r="A155" t="s">
        <v>106</v>
      </c>
      <c r="B155" s="57"/>
      <c r="C155" s="3"/>
      <c r="E155" s="24"/>
    </row>
    <row r="156" spans="1:8">
      <c r="A156" t="s">
        <v>107</v>
      </c>
      <c r="B156" s="57"/>
      <c r="C156" s="3"/>
      <c r="E156" s="24"/>
    </row>
    <row r="157" spans="1:8">
      <c r="A157" t="s">
        <v>108</v>
      </c>
      <c r="B157" s="57"/>
      <c r="C157" s="3"/>
      <c r="E157" s="24"/>
    </row>
    <row r="158" spans="1:8">
      <c r="A158" t="s">
        <v>109</v>
      </c>
      <c r="B158" s="57"/>
      <c r="C158" s="3"/>
      <c r="E158" s="24"/>
    </row>
    <row r="160" spans="1:8">
      <c r="A160" s="58" t="s">
        <v>110</v>
      </c>
    </row>
    <row r="162" spans="1:7">
      <c r="A162" s="63" t="s">
        <v>77</v>
      </c>
      <c r="B162" s="63" t="s">
        <v>78</v>
      </c>
      <c r="C162" s="63" t="s">
        <v>79</v>
      </c>
      <c r="D162" s="63" t="s">
        <v>80</v>
      </c>
      <c r="E162" s="63" t="s">
        <v>81</v>
      </c>
      <c r="F162" s="59" t="s">
        <v>111</v>
      </c>
      <c r="G162" s="63" t="s">
        <v>112</v>
      </c>
    </row>
    <row r="163" spans="1:7">
      <c r="A163" s="228" t="s">
        <v>61</v>
      </c>
      <c r="B163" s="233"/>
      <c r="C163" s="233"/>
      <c r="D163" s="233"/>
      <c r="E163" s="233"/>
      <c r="F163" s="233"/>
      <c r="G163" s="229"/>
    </row>
    <row r="164" spans="1:7">
      <c r="A164" s="60" t="e">
        <f>#REF!</f>
        <v>#REF!</v>
      </c>
      <c r="B164" s="60" t="e">
        <f>#REF!</f>
        <v>#REF!</v>
      </c>
      <c r="C164" s="60" t="e">
        <f>#REF!</f>
        <v>#REF!</v>
      </c>
      <c r="D164" s="61" t="e">
        <f>#REF!</f>
        <v>#REF!</v>
      </c>
      <c r="E164" s="61" t="e">
        <f>#REF!</f>
        <v>#REF!</v>
      </c>
      <c r="F164" s="60" t="e">
        <f>SUM(E140:E142)</f>
        <v>#REF!</v>
      </c>
      <c r="G164" s="54" t="e">
        <f>E152</f>
        <v>#REF!</v>
      </c>
    </row>
    <row r="168" spans="1:7" ht="23.5">
      <c r="A168" s="62"/>
      <c r="C168" s="12"/>
      <c r="D168" s="12"/>
      <c r="E168" s="12"/>
      <c r="F168" s="13"/>
    </row>
    <row r="169" spans="1:7" ht="23.5">
      <c r="A169" s="62"/>
      <c r="C169" s="12"/>
      <c r="D169" s="12"/>
      <c r="E169" s="12"/>
      <c r="F169" s="13"/>
    </row>
    <row r="170" spans="1:7" ht="23.5">
      <c r="A170" s="62"/>
      <c r="C170" s="12"/>
      <c r="D170" s="12"/>
      <c r="E170" s="12"/>
      <c r="F170" s="13"/>
    </row>
    <row r="171" spans="1:7" ht="23.5">
      <c r="A171" s="62"/>
      <c r="C171" s="12"/>
      <c r="D171" s="12"/>
      <c r="E171" s="12"/>
      <c r="F171" s="13"/>
    </row>
    <row r="172" spans="1:7" ht="23.5">
      <c r="A172" s="62"/>
      <c r="C172" s="12"/>
      <c r="D172" s="12"/>
      <c r="E172" s="12"/>
      <c r="F172" s="13"/>
    </row>
    <row r="173" spans="1:7" ht="23.5">
      <c r="A173" s="62"/>
      <c r="C173" s="12"/>
      <c r="D173" s="12"/>
      <c r="E173" s="12"/>
      <c r="F173" s="13"/>
    </row>
    <row r="174" spans="1:7" ht="23.5">
      <c r="A174" s="62"/>
      <c r="C174" s="12"/>
      <c r="D174" s="12"/>
      <c r="E174" s="12"/>
      <c r="F174" s="13"/>
    </row>
    <row r="175" spans="1:7" ht="23.5">
      <c r="A175" s="62"/>
      <c r="B175" s="11"/>
      <c r="C175" s="12"/>
      <c r="D175" s="12"/>
      <c r="E175" s="12"/>
      <c r="F175" s="13"/>
    </row>
    <row r="177" spans="1:6">
      <c r="A177" s="58"/>
    </row>
    <row r="178" spans="1:6">
      <c r="A178" s="58"/>
    </row>
    <row r="179" spans="1:6">
      <c r="A179" t="s">
        <v>113</v>
      </c>
      <c r="B179" s="22">
        <v>624500</v>
      </c>
      <c r="C179" t="s">
        <v>114</v>
      </c>
    </row>
    <row r="180" spans="1:6">
      <c r="A180" t="s">
        <v>115</v>
      </c>
      <c r="B180" s="22">
        <v>138000</v>
      </c>
      <c r="C180" t="s">
        <v>116</v>
      </c>
    </row>
    <row r="182" spans="1:6" ht="20" customHeight="1">
      <c r="A182" s="234" t="s">
        <v>75</v>
      </c>
      <c r="B182" s="235" t="s">
        <v>117</v>
      </c>
      <c r="C182" s="235"/>
      <c r="D182" s="235"/>
      <c r="E182" s="236" t="s">
        <v>118</v>
      </c>
    </row>
    <row r="183" spans="1:6" ht="31" customHeight="1">
      <c r="A183" s="234"/>
      <c r="B183" s="63" t="s">
        <v>119</v>
      </c>
      <c r="C183" s="63" t="s">
        <v>120</v>
      </c>
      <c r="D183" s="63" t="s">
        <v>0</v>
      </c>
      <c r="E183" s="237"/>
    </row>
    <row r="184" spans="1:6" ht="17" customHeight="1">
      <c r="A184" s="238" t="s">
        <v>121</v>
      </c>
      <c r="B184" s="239"/>
      <c r="C184" s="239"/>
      <c r="D184" s="239"/>
      <c r="E184" s="240"/>
    </row>
    <row r="185" spans="1:6">
      <c r="A185" s="48" t="s">
        <v>77</v>
      </c>
      <c r="B185" s="49" t="e">
        <f>#REF!</f>
        <v>#REF!</v>
      </c>
      <c r="C185" s="63" t="s">
        <v>122</v>
      </c>
      <c r="D185" s="51" t="s">
        <v>123</v>
      </c>
      <c r="E185" s="52" t="e">
        <f>B185*$B$179/2000</f>
        <v>#REF!</v>
      </c>
    </row>
    <row r="186" spans="1:6">
      <c r="A186" s="48" t="s">
        <v>78</v>
      </c>
      <c r="B186" s="49" t="e">
        <f>#REF!</f>
        <v>#REF!</v>
      </c>
      <c r="C186" s="63" t="s">
        <v>122</v>
      </c>
      <c r="D186" s="51" t="s">
        <v>123</v>
      </c>
      <c r="E186" s="52" t="e">
        <f>B186*$B$179/2000</f>
        <v>#REF!</v>
      </c>
    </row>
    <row r="187" spans="1:6">
      <c r="A187" s="48" t="s">
        <v>79</v>
      </c>
      <c r="B187" s="49" t="e">
        <f>#REF!</f>
        <v>#REF!</v>
      </c>
      <c r="C187" s="63" t="s">
        <v>122</v>
      </c>
      <c r="D187" s="51" t="s">
        <v>123</v>
      </c>
      <c r="E187" s="53" t="e">
        <f>B187*$B$179/2000</f>
        <v>#REF!</v>
      </c>
    </row>
    <row r="188" spans="1:6">
      <c r="A188" s="48" t="s">
        <v>80</v>
      </c>
      <c r="B188" s="49" t="e">
        <f>#REF!</f>
        <v>#REF!</v>
      </c>
      <c r="C188" s="63" t="s">
        <v>122</v>
      </c>
      <c r="D188" s="51" t="s">
        <v>123</v>
      </c>
      <c r="E188" s="53" t="e">
        <f>B188*$B$179/2000</f>
        <v>#REF!</v>
      </c>
    </row>
    <row r="189" spans="1:6">
      <c r="A189" s="48" t="s">
        <v>81</v>
      </c>
      <c r="B189" s="49" t="e">
        <f>#REF!</f>
        <v>#REF!</v>
      </c>
      <c r="C189" s="63" t="s">
        <v>122</v>
      </c>
      <c r="D189" s="51" t="s">
        <v>123</v>
      </c>
      <c r="E189" s="53" t="e">
        <f>B189*$B$179/2000</f>
        <v>#REF!</v>
      </c>
    </row>
    <row r="190" spans="1:6">
      <c r="A190" s="48" t="s">
        <v>124</v>
      </c>
      <c r="B190" s="49">
        <v>8.3000000000000001E-3</v>
      </c>
      <c r="C190" s="63" t="s">
        <v>125</v>
      </c>
      <c r="D190" s="51" t="s">
        <v>126</v>
      </c>
      <c r="E190" s="55">
        <f>B190*B179/1000/2000</f>
        <v>2.5916750000000003E-3</v>
      </c>
    </row>
    <row r="191" spans="1:6">
      <c r="A191" s="230" t="s">
        <v>90</v>
      </c>
      <c r="B191" s="231"/>
      <c r="C191" s="231"/>
      <c r="D191" s="231"/>
      <c r="E191" s="232"/>
    </row>
    <row r="192" spans="1:6">
      <c r="A192" s="48" t="s">
        <v>91</v>
      </c>
      <c r="B192" s="49">
        <v>1.04E-5</v>
      </c>
      <c r="C192" s="63" t="s">
        <v>92</v>
      </c>
      <c r="D192" s="51" t="s">
        <v>93</v>
      </c>
      <c r="E192" s="52">
        <f>B192*$B$179</f>
        <v>6.4948000000000006</v>
      </c>
      <c r="F192" t="s">
        <v>94</v>
      </c>
    </row>
    <row r="193" spans="1:6">
      <c r="A193" s="48" t="s">
        <v>95</v>
      </c>
      <c r="B193" s="49">
        <v>1.0206E-2</v>
      </c>
      <c r="C193" s="63" t="s">
        <v>92</v>
      </c>
      <c r="D193" s="51" t="s">
        <v>93</v>
      </c>
      <c r="E193" s="65">
        <f>B193*$B$179</f>
        <v>6373.6469999999999</v>
      </c>
      <c r="F193" t="s">
        <v>94</v>
      </c>
    </row>
    <row r="194" spans="1:6">
      <c r="A194" s="48" t="s">
        <v>96</v>
      </c>
      <c r="B194" s="49">
        <v>2.4700000000000001E-5</v>
      </c>
      <c r="C194" s="63" t="s">
        <v>92</v>
      </c>
      <c r="D194" s="51" t="s">
        <v>93</v>
      </c>
      <c r="E194" s="52">
        <f>B194*$B$179</f>
        <v>15.42515</v>
      </c>
      <c r="F194" t="s">
        <v>94</v>
      </c>
    </row>
    <row r="195" spans="1:6">
      <c r="A195" s="230" t="s">
        <v>97</v>
      </c>
      <c r="B195" s="231"/>
      <c r="C195" s="231"/>
      <c r="D195" s="231"/>
      <c r="E195" s="232"/>
    </row>
    <row r="196" spans="1:6">
      <c r="A196" s="48" t="s">
        <v>12</v>
      </c>
      <c r="B196" s="49">
        <v>7.76E-4</v>
      </c>
      <c r="C196" s="63" t="s">
        <v>99</v>
      </c>
      <c r="D196" s="51" t="s">
        <v>100</v>
      </c>
      <c r="E196" s="54">
        <f t="shared" ref="E196:E203" si="3">B196*$B$179*$B$180/1000000/2000</f>
        <v>3.3438228E-2</v>
      </c>
    </row>
    <row r="197" spans="1:6">
      <c r="A197" s="48" t="s">
        <v>53</v>
      </c>
      <c r="B197" s="49">
        <v>2.81E-4</v>
      </c>
      <c r="C197" s="63" t="s">
        <v>99</v>
      </c>
      <c r="D197" s="51" t="s">
        <v>100</v>
      </c>
      <c r="E197" s="55">
        <f t="shared" si="3"/>
        <v>1.2108430500000001E-2</v>
      </c>
    </row>
    <row r="198" spans="1:6">
      <c r="A198" s="48" t="s">
        <v>101</v>
      </c>
      <c r="B198" s="49">
        <v>1.93E-4</v>
      </c>
      <c r="C198" s="63" t="s">
        <v>99</v>
      </c>
      <c r="D198" s="51" t="s">
        <v>100</v>
      </c>
      <c r="E198" s="55">
        <f t="shared" si="3"/>
        <v>8.3164665000000013E-3</v>
      </c>
    </row>
    <row r="199" spans="1:6">
      <c r="A199" s="48" t="s">
        <v>29</v>
      </c>
      <c r="B199" s="49">
        <v>7.8899999999999993E-5</v>
      </c>
      <c r="C199" s="63" t="s">
        <v>99</v>
      </c>
      <c r="D199" s="51" t="s">
        <v>100</v>
      </c>
      <c r="E199" s="55">
        <f t="shared" si="3"/>
        <v>3.3998404499999998E-3</v>
      </c>
    </row>
    <row r="200" spans="1:6">
      <c r="A200" s="48" t="s">
        <v>2</v>
      </c>
      <c r="B200" s="49">
        <v>2.5199999999999999E-5</v>
      </c>
      <c r="C200" s="63" t="s">
        <v>99</v>
      </c>
      <c r="D200" s="51" t="s">
        <v>100</v>
      </c>
      <c r="E200" s="56">
        <f t="shared" si="3"/>
        <v>1.0858805999999998E-3</v>
      </c>
    </row>
    <row r="201" spans="1:6">
      <c r="A201" s="48" t="s">
        <v>4</v>
      </c>
      <c r="B201" s="49">
        <v>7.8800000000000008E-6</v>
      </c>
      <c r="C201" s="63" t="s">
        <v>99</v>
      </c>
      <c r="D201" s="51" t="s">
        <v>100</v>
      </c>
      <c r="E201" s="56">
        <f t="shared" si="3"/>
        <v>3.3955314000000007E-4</v>
      </c>
    </row>
    <row r="202" spans="1:6">
      <c r="A202" s="48" t="s">
        <v>102</v>
      </c>
      <c r="B202" s="49">
        <v>1.2999999999999999E-4</v>
      </c>
      <c r="C202" s="63" t="s">
        <v>99</v>
      </c>
      <c r="D202" s="51" t="s">
        <v>100</v>
      </c>
      <c r="E202" s="55">
        <f t="shared" si="3"/>
        <v>5.6017649999999999E-3</v>
      </c>
    </row>
    <row r="203" spans="1:6">
      <c r="A203" s="48" t="s">
        <v>103</v>
      </c>
      <c r="B203" s="49">
        <v>2.12E-4</v>
      </c>
      <c r="C203" s="63" t="s">
        <v>99</v>
      </c>
      <c r="D203" s="51" t="s">
        <v>100</v>
      </c>
      <c r="E203" s="55">
        <f t="shared" si="3"/>
        <v>9.135186E-3</v>
      </c>
    </row>
    <row r="204" spans="1:6">
      <c r="A204" s="48" t="s">
        <v>104</v>
      </c>
      <c r="B204" s="49"/>
      <c r="C204" s="63"/>
      <c r="D204" s="48"/>
      <c r="E204" s="54">
        <f>SUM(E196:E203)</f>
        <v>7.3425350190000002E-2</v>
      </c>
    </row>
    <row r="205" spans="1:6">
      <c r="B205" s="57"/>
      <c r="C205" s="3"/>
      <c r="E205" s="24"/>
    </row>
    <row r="206" spans="1:6">
      <c r="A206" t="s">
        <v>105</v>
      </c>
      <c r="B206" s="57"/>
      <c r="C206" s="3"/>
      <c r="E206" s="24"/>
    </row>
    <row r="207" spans="1:6">
      <c r="A207" t="s">
        <v>106</v>
      </c>
      <c r="B207" s="57"/>
      <c r="C207" s="3"/>
      <c r="E207" s="24"/>
    </row>
    <row r="208" spans="1:6">
      <c r="A208" t="s">
        <v>107</v>
      </c>
      <c r="B208" s="57"/>
      <c r="C208" s="3"/>
      <c r="E208" s="24"/>
    </row>
    <row r="209" spans="1:7">
      <c r="A209" t="s">
        <v>108</v>
      </c>
      <c r="B209" s="57"/>
      <c r="C209" s="3"/>
      <c r="E209" s="24"/>
    </row>
    <row r="210" spans="1:7">
      <c r="B210" s="57"/>
      <c r="C210" s="3"/>
      <c r="E210" s="24"/>
    </row>
    <row r="212" spans="1:7">
      <c r="A212" s="58" t="s">
        <v>127</v>
      </c>
    </row>
    <row r="214" spans="1:7">
      <c r="A214" s="63" t="s">
        <v>77</v>
      </c>
      <c r="B214" s="63" t="s">
        <v>78</v>
      </c>
      <c r="C214" s="63" t="s">
        <v>79</v>
      </c>
      <c r="D214" s="63" t="s">
        <v>80</v>
      </c>
      <c r="E214" s="63" t="s">
        <v>81</v>
      </c>
      <c r="F214" s="59" t="s">
        <v>111</v>
      </c>
      <c r="G214" s="63" t="s">
        <v>112</v>
      </c>
    </row>
    <row r="215" spans="1:7">
      <c r="A215" s="228" t="s">
        <v>61</v>
      </c>
      <c r="B215" s="233"/>
      <c r="C215" s="233"/>
      <c r="D215" s="233"/>
      <c r="E215" s="233"/>
      <c r="F215" s="233"/>
      <c r="G215" s="229"/>
    </row>
    <row r="216" spans="1:7">
      <c r="A216" s="60" t="e">
        <f>E185</f>
        <v>#REF!</v>
      </c>
      <c r="B216" s="60" t="e">
        <f>E186</f>
        <v>#REF!</v>
      </c>
      <c r="C216" s="60" t="e">
        <f>E187</f>
        <v>#REF!</v>
      </c>
      <c r="D216" s="61" t="e">
        <f>E188</f>
        <v>#REF!</v>
      </c>
      <c r="E216" s="61" t="e">
        <f>E189</f>
        <v>#REF!</v>
      </c>
      <c r="F216" s="60">
        <f>SUM(E192:E194)</f>
        <v>6395.5669500000004</v>
      </c>
      <c r="G216" s="54">
        <f>E204</f>
        <v>7.3425350190000002E-2</v>
      </c>
    </row>
  </sheetData>
  <mergeCells count="14">
    <mergeCell ref="A143:E143"/>
    <mergeCell ref="A21:C21"/>
    <mergeCell ref="A30:C30"/>
    <mergeCell ref="A36:E36"/>
    <mergeCell ref="F36:G36"/>
    <mergeCell ref="A139:E139"/>
    <mergeCell ref="A195:E195"/>
    <mergeCell ref="A215:G215"/>
    <mergeCell ref="A163:G163"/>
    <mergeCell ref="A182:A183"/>
    <mergeCell ref="B182:D182"/>
    <mergeCell ref="E182:E183"/>
    <mergeCell ref="A184:E184"/>
    <mergeCell ref="A191:E191"/>
  </mergeCells>
  <printOptions horizontalCentered="1"/>
  <pageMargins left="0.75" right="0.75" top="1" bottom="1" header="0.5" footer="0.5"/>
  <pageSetup scale="94" fitToHeight="2" orientation="portrait" horizontalDpi="4294967292" verticalDpi="4294967292"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8C259-AB31-2940-A58E-D6515DFB37B6}">
  <sheetPr>
    <tabColor rgb="FF008000"/>
    <pageSetUpPr fitToPage="1"/>
  </sheetPr>
  <dimension ref="A1:K216"/>
  <sheetViews>
    <sheetView zoomScale="85" zoomScaleNormal="85" workbookViewId="0">
      <selection activeCell="N22" sqref="N22"/>
    </sheetView>
  </sheetViews>
  <sheetFormatPr defaultColWidth="11" defaultRowHeight="15.5"/>
  <cols>
    <col min="1" max="1" width="35.5" customWidth="1"/>
    <col min="2" max="2" width="15.83203125" customWidth="1"/>
    <col min="3" max="3" width="15.33203125" customWidth="1"/>
    <col min="4" max="10" width="9.6640625" customWidth="1"/>
    <col min="13" max="13" width="12.6640625" customWidth="1"/>
    <col min="14" max="14" width="14" customWidth="1"/>
  </cols>
  <sheetData>
    <row r="1" spans="1:11" ht="21">
      <c r="A1" s="10"/>
      <c r="B1" s="11"/>
      <c r="C1" s="12"/>
      <c r="D1" s="12"/>
      <c r="E1" s="12"/>
      <c r="F1" s="13"/>
    </row>
    <row r="3" spans="1:11">
      <c r="A3" s="14"/>
    </row>
    <row r="4" spans="1:11" ht="18">
      <c r="A4" s="15" t="s">
        <v>287</v>
      </c>
    </row>
    <row r="6" spans="1:11" s="20" customFormat="1">
      <c r="A6" s="16" t="s">
        <v>280</v>
      </c>
      <c r="B6" s="17">
        <v>1</v>
      </c>
      <c r="C6" s="18"/>
      <c r="D6" s="19"/>
      <c r="F6"/>
      <c r="G6"/>
      <c r="H6"/>
      <c r="I6"/>
      <c r="J6"/>
      <c r="K6"/>
    </row>
    <row r="7" spans="1:11" s="20" customFormat="1">
      <c r="A7" s="18" t="s">
        <v>62</v>
      </c>
      <c r="B7" s="21">
        <v>0.9</v>
      </c>
      <c r="C7" s="18" t="s">
        <v>63</v>
      </c>
      <c r="D7" s="19"/>
      <c r="F7" s="66"/>
      <c r="G7"/>
      <c r="H7"/>
      <c r="I7"/>
      <c r="J7"/>
      <c r="K7"/>
    </row>
    <row r="8" spans="1:11">
      <c r="A8" s="18" t="s">
        <v>64</v>
      </c>
      <c r="B8" s="22">
        <v>1020</v>
      </c>
      <c r="C8" t="s">
        <v>65</v>
      </c>
    </row>
    <row r="9" spans="1:11">
      <c r="A9" s="18" t="s">
        <v>66</v>
      </c>
      <c r="B9" s="22">
        <v>24</v>
      </c>
    </row>
    <row r="10" spans="1:11">
      <c r="A10" s="18" t="s">
        <v>67</v>
      </c>
      <c r="B10" s="17">
        <v>8760</v>
      </c>
    </row>
    <row r="11" spans="1:11">
      <c r="A11" s="18" t="s">
        <v>129</v>
      </c>
      <c r="B11" s="194">
        <v>1</v>
      </c>
      <c r="F11" s="66"/>
      <c r="I11" s="66"/>
    </row>
    <row r="12" spans="1:11" ht="15.75" customHeight="1">
      <c r="A12" s="18" t="s">
        <v>68</v>
      </c>
      <c r="B12" s="24">
        <f>B6*B7*B10*B11</f>
        <v>7884</v>
      </c>
      <c r="C12" t="s">
        <v>69</v>
      </c>
      <c r="D12" s="25"/>
    </row>
    <row r="13" spans="1:11" ht="15.75" customHeight="1">
      <c r="A13" s="18" t="s">
        <v>68</v>
      </c>
      <c r="B13" s="24">
        <f>B12/B8</f>
        <v>7.7294117647058824</v>
      </c>
      <c r="C13" t="s">
        <v>70</v>
      </c>
      <c r="D13" s="25"/>
    </row>
    <row r="14" spans="1:11">
      <c r="A14" s="18"/>
      <c r="B14" s="22"/>
    </row>
    <row r="15" spans="1:11" ht="15.75" customHeight="1">
      <c r="A15" s="18"/>
      <c r="B15" s="24"/>
      <c r="D15" s="25"/>
    </row>
    <row r="16" spans="1:11" s="20" customFormat="1">
      <c r="A16" s="16" t="s">
        <v>128</v>
      </c>
      <c r="B16" s="17"/>
      <c r="C16" s="18"/>
      <c r="D16" s="19"/>
    </row>
    <row r="17" spans="1:4" ht="15.75" customHeight="1">
      <c r="A17" s="18" t="s">
        <v>71</v>
      </c>
      <c r="B17" s="24">
        <f>B12</f>
        <v>7884</v>
      </c>
      <c r="C17" t="s">
        <v>69</v>
      </c>
      <c r="D17" s="25"/>
    </row>
    <row r="18" spans="1:4" ht="15.75" customHeight="1">
      <c r="A18" s="18" t="s">
        <v>71</v>
      </c>
      <c r="B18" s="24">
        <f>B13</f>
        <v>7.7294117647058824</v>
      </c>
      <c r="C18" t="s">
        <v>70</v>
      </c>
      <c r="D18" s="25"/>
    </row>
    <row r="19" spans="1:4" ht="15.75" customHeight="1">
      <c r="A19" s="18" t="s">
        <v>72</v>
      </c>
      <c r="B19" s="160">
        <f>B6*B7/B8*B9</f>
        <v>2.1176470588235297E-2</v>
      </c>
      <c r="C19" t="s">
        <v>73</v>
      </c>
      <c r="D19" s="25"/>
    </row>
    <row r="20" spans="1:4" ht="15.75" customHeight="1">
      <c r="A20" s="18"/>
      <c r="B20" s="24"/>
      <c r="D20" s="28"/>
    </row>
    <row r="21" spans="1:4" ht="18" customHeight="1">
      <c r="A21" s="241" t="s">
        <v>74</v>
      </c>
      <c r="B21" s="241"/>
      <c r="C21" s="241"/>
    </row>
    <row r="22" spans="1:4" ht="47" customHeight="1">
      <c r="A22" s="29" t="s">
        <v>75</v>
      </c>
      <c r="B22" s="30" t="s">
        <v>76</v>
      </c>
      <c r="C22" s="29" t="s">
        <v>130</v>
      </c>
    </row>
    <row r="23" spans="1:4" ht="15.75" customHeight="1">
      <c r="A23" s="31" t="s">
        <v>77</v>
      </c>
      <c r="B23" s="31">
        <v>100</v>
      </c>
      <c r="C23" s="34">
        <f>B23*$B$18/2000</f>
        <v>0.38647058823529412</v>
      </c>
    </row>
    <row r="24" spans="1:4" ht="15.75" customHeight="1">
      <c r="A24" s="31" t="s">
        <v>78</v>
      </c>
      <c r="B24" s="31">
        <v>84</v>
      </c>
      <c r="C24" s="34">
        <f>B24*$B$18/2000</f>
        <v>0.32463529411764702</v>
      </c>
    </row>
    <row r="25" spans="1:4" ht="15.75" customHeight="1">
      <c r="A25" s="31" t="s">
        <v>79</v>
      </c>
      <c r="B25" s="31">
        <v>5.5</v>
      </c>
      <c r="C25" s="67">
        <f>B25*$B$18/2000</f>
        <v>2.1255882352941177E-2</v>
      </c>
    </row>
    <row r="26" spans="1:4" ht="15.75" customHeight="1">
      <c r="A26" s="31" t="s">
        <v>80</v>
      </c>
      <c r="B26" s="31">
        <v>2.5</v>
      </c>
      <c r="C26" s="67">
        <f>B26*$B$18/2000</f>
        <v>9.6617647058823541E-3</v>
      </c>
    </row>
    <row r="27" spans="1:4">
      <c r="A27" s="31" t="s">
        <v>81</v>
      </c>
      <c r="B27" s="31">
        <v>2.6</v>
      </c>
      <c r="C27" s="67">
        <f>B27*$B$18/2000</f>
        <v>1.0048235294117648E-2</v>
      </c>
    </row>
    <row r="28" spans="1:4">
      <c r="A28" s="35" t="s">
        <v>82</v>
      </c>
      <c r="B28" s="36"/>
      <c r="C28" s="37"/>
    </row>
    <row r="29" spans="1:4">
      <c r="A29" s="38"/>
      <c r="B29" s="38"/>
      <c r="C29" s="39"/>
    </row>
    <row r="30" spans="1:4" ht="18" customHeight="1">
      <c r="A30" s="241" t="s">
        <v>83</v>
      </c>
      <c r="B30" s="241"/>
      <c r="C30" s="241"/>
    </row>
    <row r="31" spans="1:4" ht="49" customHeight="1">
      <c r="A31" s="29" t="s">
        <v>75</v>
      </c>
      <c r="B31" s="30" t="s">
        <v>84</v>
      </c>
      <c r="C31" s="29" t="s">
        <v>130</v>
      </c>
    </row>
    <row r="32" spans="1:4">
      <c r="A32" s="31" t="s">
        <v>85</v>
      </c>
      <c r="B32" s="31">
        <v>53.114800000000002</v>
      </c>
      <c r="C32" s="33">
        <f>(B32*B17/1000)*1.10231</f>
        <v>461.60012038219196</v>
      </c>
    </row>
    <row r="33" spans="1:9">
      <c r="A33" s="35" t="s">
        <v>86</v>
      </c>
      <c r="B33" s="36"/>
      <c r="C33" s="37"/>
    </row>
    <row r="34" spans="1:9">
      <c r="C34" s="26"/>
    </row>
    <row r="35" spans="1:9">
      <c r="C35" s="26"/>
    </row>
    <row r="36" spans="1:9" ht="18" customHeight="1">
      <c r="A36" s="242" t="s">
        <v>87</v>
      </c>
      <c r="B36" s="243"/>
      <c r="C36" s="243"/>
      <c r="D36" s="243"/>
      <c r="E36" s="244"/>
      <c r="F36" s="245" t="s">
        <v>131</v>
      </c>
      <c r="G36" s="246"/>
    </row>
    <row r="37" spans="1:9" ht="52" customHeight="1">
      <c r="A37" s="40" t="s">
        <v>75</v>
      </c>
      <c r="B37" s="40" t="s">
        <v>88</v>
      </c>
      <c r="C37" s="41" t="s">
        <v>76</v>
      </c>
      <c r="D37" s="69" t="s">
        <v>132</v>
      </c>
      <c r="E37" s="69" t="s">
        <v>133</v>
      </c>
      <c r="F37" s="69" t="s">
        <v>132</v>
      </c>
      <c r="G37" s="69" t="s">
        <v>133</v>
      </c>
      <c r="I37" s="43"/>
    </row>
    <row r="38" spans="1:9">
      <c r="A38" s="31" t="s">
        <v>12</v>
      </c>
      <c r="B38" s="31" t="s">
        <v>11</v>
      </c>
      <c r="C38" s="31">
        <v>8.0000000000000002E-3</v>
      </c>
      <c r="D38" s="44">
        <f t="shared" ref="D38:D64" si="0">C38*$B$19</f>
        <v>1.6941176470588237E-4</v>
      </c>
      <c r="E38" s="34">
        <f t="shared" ref="E38:E64" si="1">C38*$B$18</f>
        <v>6.1835294117647058E-2</v>
      </c>
      <c r="F38" s="45">
        <f t="shared" ref="F38:G64" si="2">D38/$B$6</f>
        <v>1.6941176470588237E-4</v>
      </c>
      <c r="G38" s="45">
        <f t="shared" si="2"/>
        <v>6.1835294117647058E-2</v>
      </c>
    </row>
    <row r="39" spans="1:9">
      <c r="A39" s="31" t="s">
        <v>29</v>
      </c>
      <c r="B39" s="31" t="s">
        <v>28</v>
      </c>
      <c r="C39" s="31">
        <v>1.7000000000000001E-2</v>
      </c>
      <c r="D39" s="44">
        <f t="shared" si="0"/>
        <v>3.6000000000000008E-4</v>
      </c>
      <c r="E39" s="34">
        <f t="shared" si="1"/>
        <v>0.13140000000000002</v>
      </c>
      <c r="F39" s="45">
        <f t="shared" si="2"/>
        <v>3.6000000000000008E-4</v>
      </c>
      <c r="G39" s="45">
        <f t="shared" si="2"/>
        <v>0.13140000000000002</v>
      </c>
    </row>
    <row r="40" spans="1:9">
      <c r="A40" s="31" t="s">
        <v>47</v>
      </c>
      <c r="B40" s="31">
        <v>401</v>
      </c>
      <c r="C40" s="31">
        <v>1E-4</v>
      </c>
      <c r="D40" s="44">
        <f t="shared" si="0"/>
        <v>2.1176470588235296E-6</v>
      </c>
      <c r="E40" s="34">
        <f t="shared" si="1"/>
        <v>7.7294117647058833E-4</v>
      </c>
      <c r="F40" s="45">
        <f t="shared" si="2"/>
        <v>2.1176470588235296E-6</v>
      </c>
      <c r="G40" s="45">
        <f t="shared" si="2"/>
        <v>7.7294117647058833E-4</v>
      </c>
    </row>
    <row r="41" spans="1:9">
      <c r="A41" s="31" t="s">
        <v>14</v>
      </c>
      <c r="B41" s="31" t="s">
        <v>13</v>
      </c>
      <c r="C41" s="31">
        <v>1.1999999999999999E-6</v>
      </c>
      <c r="D41" s="44">
        <f t="shared" si="0"/>
        <v>2.5411764705882355E-8</v>
      </c>
      <c r="E41" s="34">
        <f t="shared" si="1"/>
        <v>9.2752941176470583E-6</v>
      </c>
      <c r="F41" s="45">
        <f t="shared" si="2"/>
        <v>2.5411764705882355E-8</v>
      </c>
      <c r="G41" s="45">
        <f t="shared" si="2"/>
        <v>9.2752941176470583E-6</v>
      </c>
    </row>
    <row r="42" spans="1:9">
      <c r="A42" s="31" t="s">
        <v>42</v>
      </c>
      <c r="B42" s="31" t="s">
        <v>41</v>
      </c>
      <c r="C42" s="31">
        <v>2.9999999999999997E-4</v>
      </c>
      <c r="D42" s="44">
        <f t="shared" si="0"/>
        <v>6.3529411764705887E-6</v>
      </c>
      <c r="E42" s="34">
        <f t="shared" si="1"/>
        <v>2.3188235294117647E-3</v>
      </c>
      <c r="F42" s="45">
        <f t="shared" si="2"/>
        <v>6.3529411764705887E-6</v>
      </c>
      <c r="G42" s="45">
        <f t="shared" si="2"/>
        <v>2.3188235294117647E-3</v>
      </c>
    </row>
    <row r="43" spans="1:9">
      <c r="A43" s="31" t="s">
        <v>2</v>
      </c>
      <c r="B43" s="31" t="s">
        <v>1</v>
      </c>
      <c r="C43" s="31">
        <v>4.3E-3</v>
      </c>
      <c r="D43" s="44">
        <f t="shared" si="0"/>
        <v>9.1058823529411773E-5</v>
      </c>
      <c r="E43" s="34">
        <f t="shared" si="1"/>
        <v>3.3236470588235298E-2</v>
      </c>
      <c r="F43" s="45">
        <f t="shared" si="2"/>
        <v>9.1058823529411773E-5</v>
      </c>
      <c r="G43" s="45">
        <f t="shared" si="2"/>
        <v>3.3236470588235298E-2</v>
      </c>
    </row>
    <row r="44" spans="1:9">
      <c r="A44" s="31" t="s">
        <v>4</v>
      </c>
      <c r="B44" s="31" t="s">
        <v>3</v>
      </c>
      <c r="C44" s="31">
        <v>2.7000000000000001E-3</v>
      </c>
      <c r="D44" s="44">
        <f t="shared" si="0"/>
        <v>5.7176470588235307E-5</v>
      </c>
      <c r="E44" s="34">
        <f t="shared" si="1"/>
        <v>2.0869411764705883E-2</v>
      </c>
      <c r="F44" s="45">
        <f t="shared" si="2"/>
        <v>5.7176470588235307E-5</v>
      </c>
      <c r="G44" s="45">
        <f t="shared" si="2"/>
        <v>2.0869411764705883E-2</v>
      </c>
    </row>
    <row r="45" spans="1:9">
      <c r="A45" s="31" t="s">
        <v>6</v>
      </c>
      <c r="B45" s="31" t="s">
        <v>5</v>
      </c>
      <c r="C45" s="31">
        <v>3.2</v>
      </c>
      <c r="D45" s="44">
        <f t="shared" si="0"/>
        <v>6.7764705882352949E-2</v>
      </c>
      <c r="E45" s="34">
        <f t="shared" si="1"/>
        <v>24.734117647058824</v>
      </c>
      <c r="F45" s="45">
        <f t="shared" si="2"/>
        <v>6.7764705882352949E-2</v>
      </c>
      <c r="G45" s="45">
        <f t="shared" si="2"/>
        <v>24.734117647058824</v>
      </c>
    </row>
    <row r="46" spans="1:9">
      <c r="A46" s="31" t="s">
        <v>8</v>
      </c>
      <c r="B46" s="31" t="s">
        <v>7</v>
      </c>
      <c r="C46" s="31">
        <v>2.0000000000000001E-4</v>
      </c>
      <c r="D46" s="44">
        <f t="shared" si="0"/>
        <v>4.2352941176470591E-6</v>
      </c>
      <c r="E46" s="34">
        <f t="shared" si="1"/>
        <v>1.5458823529411767E-3</v>
      </c>
      <c r="F46" s="45">
        <f t="shared" si="2"/>
        <v>4.2352941176470591E-6</v>
      </c>
      <c r="G46" s="45">
        <f t="shared" si="2"/>
        <v>1.5458823529411767E-3</v>
      </c>
    </row>
    <row r="47" spans="1:9">
      <c r="A47" s="31" t="s">
        <v>10</v>
      </c>
      <c r="B47" s="31" t="s">
        <v>9</v>
      </c>
      <c r="C47" s="31">
        <v>4.4000000000000003E-3</v>
      </c>
      <c r="D47" s="44">
        <f t="shared" si="0"/>
        <v>9.3176470588235308E-5</v>
      </c>
      <c r="E47" s="34">
        <f t="shared" si="1"/>
        <v>3.4009411764705885E-2</v>
      </c>
      <c r="F47" s="45">
        <f t="shared" si="2"/>
        <v>9.3176470588235308E-5</v>
      </c>
      <c r="G47" s="45">
        <f t="shared" si="2"/>
        <v>3.4009411764705885E-2</v>
      </c>
    </row>
    <row r="48" spans="1:9">
      <c r="A48" s="31" t="s">
        <v>16</v>
      </c>
      <c r="B48" s="31" t="s">
        <v>15</v>
      </c>
      <c r="C48" s="31">
        <v>1.2E-5</v>
      </c>
      <c r="D48" s="44">
        <f t="shared" si="0"/>
        <v>2.5411764705882357E-7</v>
      </c>
      <c r="E48" s="34">
        <f t="shared" si="1"/>
        <v>9.275294117647059E-5</v>
      </c>
      <c r="F48" s="45">
        <f t="shared" si="2"/>
        <v>2.5411764705882357E-7</v>
      </c>
      <c r="G48" s="45">
        <f t="shared" si="2"/>
        <v>9.275294117647059E-5</v>
      </c>
    </row>
    <row r="49" spans="1:7">
      <c r="A49" s="31" t="s">
        <v>18</v>
      </c>
      <c r="B49" s="46" t="s">
        <v>17</v>
      </c>
      <c r="C49" s="31">
        <v>1.1000000000000001E-3</v>
      </c>
      <c r="D49" s="44">
        <f t="shared" si="0"/>
        <v>2.3294117647058827E-5</v>
      </c>
      <c r="E49" s="34">
        <f t="shared" si="1"/>
        <v>8.5023529411764713E-3</v>
      </c>
      <c r="F49" s="45">
        <f t="shared" si="2"/>
        <v>2.3294117647058827E-5</v>
      </c>
      <c r="G49" s="45">
        <f t="shared" si="2"/>
        <v>8.5023529411764713E-3</v>
      </c>
    </row>
    <row r="50" spans="1:7">
      <c r="A50" s="31" t="s">
        <v>20</v>
      </c>
      <c r="B50" s="31" t="s">
        <v>19</v>
      </c>
      <c r="C50" s="31">
        <v>1.4E-3</v>
      </c>
      <c r="D50" s="44">
        <f t="shared" si="0"/>
        <v>2.9647058823529414E-5</v>
      </c>
      <c r="E50" s="34">
        <f t="shared" si="1"/>
        <v>1.0821176470588235E-2</v>
      </c>
      <c r="F50" s="45">
        <f t="shared" si="2"/>
        <v>2.9647058823529414E-5</v>
      </c>
      <c r="G50" s="45">
        <f t="shared" si="2"/>
        <v>1.0821176470588235E-2</v>
      </c>
    </row>
    <row r="51" spans="1:7">
      <c r="A51" s="31" t="s">
        <v>22</v>
      </c>
      <c r="B51" s="31" t="s">
        <v>21</v>
      </c>
      <c r="C51" s="31">
        <v>8.3999999999999995E-5</v>
      </c>
      <c r="D51" s="44">
        <f t="shared" si="0"/>
        <v>1.7788235294117649E-6</v>
      </c>
      <c r="E51" s="34">
        <f t="shared" si="1"/>
        <v>6.492705882352941E-4</v>
      </c>
      <c r="F51" s="45">
        <f t="shared" si="2"/>
        <v>1.7788235294117649E-6</v>
      </c>
      <c r="G51" s="45">
        <f t="shared" si="2"/>
        <v>6.492705882352941E-4</v>
      </c>
    </row>
    <row r="52" spans="1:7">
      <c r="A52" s="31" t="s">
        <v>24</v>
      </c>
      <c r="B52" s="31" t="s">
        <v>23</v>
      </c>
      <c r="C52" s="31">
        <v>8.4999999999999995E-4</v>
      </c>
      <c r="D52" s="44">
        <f t="shared" si="0"/>
        <v>1.8E-5</v>
      </c>
      <c r="E52" s="34">
        <f t="shared" si="1"/>
        <v>6.5699999999999995E-3</v>
      </c>
      <c r="F52" s="45">
        <f t="shared" si="2"/>
        <v>1.8E-5</v>
      </c>
      <c r="G52" s="45">
        <f t="shared" si="2"/>
        <v>6.5699999999999995E-3</v>
      </c>
    </row>
    <row r="53" spans="1:7">
      <c r="A53" s="31" t="s">
        <v>26</v>
      </c>
      <c r="B53" s="31" t="s">
        <v>25</v>
      </c>
      <c r="C53" s="31">
        <v>9.4999999999999998E-3</v>
      </c>
      <c r="D53" s="44">
        <f t="shared" si="0"/>
        <v>2.011764705882353E-4</v>
      </c>
      <c r="E53" s="34">
        <f t="shared" si="1"/>
        <v>7.3429411764705882E-2</v>
      </c>
      <c r="F53" s="45">
        <f t="shared" si="2"/>
        <v>2.011764705882353E-4</v>
      </c>
      <c r="G53" s="45">
        <f t="shared" si="2"/>
        <v>7.3429411764705882E-2</v>
      </c>
    </row>
    <row r="54" spans="1:7">
      <c r="A54" s="31" t="s">
        <v>31</v>
      </c>
      <c r="B54" s="31" t="s">
        <v>30</v>
      </c>
      <c r="C54" s="31">
        <v>6.3E-3</v>
      </c>
      <c r="D54" s="44">
        <f t="shared" si="0"/>
        <v>1.3341176470588236E-4</v>
      </c>
      <c r="E54" s="34">
        <f t="shared" si="1"/>
        <v>4.8695294117647059E-2</v>
      </c>
      <c r="F54" s="45">
        <f t="shared" si="2"/>
        <v>1.3341176470588236E-4</v>
      </c>
      <c r="G54" s="45">
        <f t="shared" si="2"/>
        <v>4.8695294117647059E-2</v>
      </c>
    </row>
    <row r="55" spans="1:7">
      <c r="A55" s="31" t="s">
        <v>34</v>
      </c>
      <c r="B55" s="31" t="s">
        <v>33</v>
      </c>
      <c r="C55" s="31">
        <v>5.0000000000000001E-4</v>
      </c>
      <c r="D55" s="44">
        <f t="shared" si="0"/>
        <v>1.0588235294117648E-5</v>
      </c>
      <c r="E55" s="34">
        <f t="shared" si="1"/>
        <v>3.8647058823529411E-3</v>
      </c>
      <c r="F55" s="45">
        <f t="shared" si="2"/>
        <v>1.0588235294117648E-5</v>
      </c>
      <c r="G55" s="45">
        <f t="shared" si="2"/>
        <v>3.8647058823529411E-3</v>
      </c>
    </row>
    <row r="56" spans="1:7">
      <c r="A56" s="31" t="s">
        <v>36</v>
      </c>
      <c r="B56" s="31" t="s">
        <v>35</v>
      </c>
      <c r="C56" s="31">
        <v>3.8000000000000002E-4</v>
      </c>
      <c r="D56" s="44">
        <f t="shared" si="0"/>
        <v>8.0470588235294123E-6</v>
      </c>
      <c r="E56" s="34">
        <f t="shared" si="1"/>
        <v>2.9371764705882356E-3</v>
      </c>
      <c r="F56" s="45">
        <f t="shared" si="2"/>
        <v>8.0470588235294123E-6</v>
      </c>
      <c r="G56" s="45">
        <f t="shared" si="2"/>
        <v>2.9371764705882356E-3</v>
      </c>
    </row>
    <row r="57" spans="1:7">
      <c r="A57" s="31" t="s">
        <v>38</v>
      </c>
      <c r="B57" s="31" t="s">
        <v>37</v>
      </c>
      <c r="C57" s="31">
        <v>2.5999999999999998E-4</v>
      </c>
      <c r="D57" s="44">
        <f t="shared" si="0"/>
        <v>5.5058823529411769E-6</v>
      </c>
      <c r="E57" s="34">
        <f t="shared" si="1"/>
        <v>2.0096470588235292E-3</v>
      </c>
      <c r="F57" s="45">
        <f t="shared" si="2"/>
        <v>5.5058823529411769E-6</v>
      </c>
      <c r="G57" s="45">
        <f t="shared" si="2"/>
        <v>2.0096470588235292E-3</v>
      </c>
    </row>
    <row r="58" spans="1:7">
      <c r="A58" s="31" t="s">
        <v>40</v>
      </c>
      <c r="B58" s="31" t="s">
        <v>39</v>
      </c>
      <c r="C58" s="31">
        <v>1.65E-3</v>
      </c>
      <c r="D58" s="44">
        <f t="shared" si="0"/>
        <v>3.494117647058824E-5</v>
      </c>
      <c r="E58" s="34">
        <f t="shared" si="1"/>
        <v>1.2753529411764705E-2</v>
      </c>
      <c r="F58" s="45">
        <f t="shared" si="2"/>
        <v>3.494117647058824E-5</v>
      </c>
      <c r="G58" s="45">
        <f t="shared" si="2"/>
        <v>1.2753529411764705E-2</v>
      </c>
    </row>
    <row r="59" spans="1:7">
      <c r="A59" s="31" t="s">
        <v>44</v>
      </c>
      <c r="B59" s="31">
        <v>365</v>
      </c>
      <c r="C59" s="31">
        <v>2.0999999999999999E-3</v>
      </c>
      <c r="D59" s="44">
        <f t="shared" si="0"/>
        <v>4.4470588235294119E-5</v>
      </c>
      <c r="E59" s="34">
        <f t="shared" si="1"/>
        <v>1.6231764705882352E-2</v>
      </c>
      <c r="F59" s="45">
        <f t="shared" si="2"/>
        <v>4.4470588235294119E-5</v>
      </c>
      <c r="G59" s="45">
        <f t="shared" si="2"/>
        <v>1.6231764705882352E-2</v>
      </c>
    </row>
    <row r="60" spans="1:7">
      <c r="A60" s="31" t="s">
        <v>51</v>
      </c>
      <c r="B60" s="31" t="s">
        <v>50</v>
      </c>
      <c r="C60" s="31">
        <v>2.4000000000000001E-5</v>
      </c>
      <c r="D60" s="44">
        <f t="shared" si="0"/>
        <v>5.0823529411764714E-7</v>
      </c>
      <c r="E60" s="34">
        <f t="shared" si="1"/>
        <v>1.8550588235294118E-4</v>
      </c>
      <c r="F60" s="45">
        <f t="shared" si="2"/>
        <v>5.0823529411764714E-7</v>
      </c>
      <c r="G60" s="45">
        <f t="shared" si="2"/>
        <v>1.8550588235294118E-4</v>
      </c>
    </row>
    <row r="61" spans="1:7">
      <c r="A61" s="31" t="s">
        <v>53</v>
      </c>
      <c r="B61" s="31" t="s">
        <v>52</v>
      </c>
      <c r="C61" s="31">
        <v>3.6600000000000001E-2</v>
      </c>
      <c r="D61" s="44">
        <f t="shared" si="0"/>
        <v>7.7505882352941189E-4</v>
      </c>
      <c r="E61" s="34">
        <f t="shared" si="1"/>
        <v>0.2828964705882353</v>
      </c>
      <c r="F61" s="45">
        <f t="shared" si="2"/>
        <v>7.7505882352941189E-4</v>
      </c>
      <c r="G61" s="45">
        <f t="shared" si="2"/>
        <v>0.2828964705882353</v>
      </c>
    </row>
    <row r="62" spans="1:7">
      <c r="A62" s="31" t="s">
        <v>55</v>
      </c>
      <c r="B62" s="31" t="s">
        <v>54</v>
      </c>
      <c r="C62" s="31">
        <v>2.3E-3</v>
      </c>
      <c r="D62" s="44">
        <f t="shared" si="0"/>
        <v>4.8705882352941182E-5</v>
      </c>
      <c r="E62" s="34">
        <f t="shared" si="1"/>
        <v>1.777764705882353E-2</v>
      </c>
      <c r="F62" s="45">
        <f t="shared" si="2"/>
        <v>4.8705882352941182E-5</v>
      </c>
      <c r="G62" s="45">
        <f t="shared" si="2"/>
        <v>1.777764705882353E-2</v>
      </c>
    </row>
    <row r="63" spans="1:7">
      <c r="A63" s="31" t="s">
        <v>57</v>
      </c>
      <c r="B63" s="31" t="s">
        <v>56</v>
      </c>
      <c r="C63" s="31">
        <v>2.7199999999999998E-2</v>
      </c>
      <c r="D63" s="44">
        <f t="shared" si="0"/>
        <v>5.7600000000000001E-4</v>
      </c>
      <c r="E63" s="34">
        <f t="shared" si="1"/>
        <v>0.21023999999999998</v>
      </c>
      <c r="F63" s="45">
        <f t="shared" si="2"/>
        <v>5.7600000000000001E-4</v>
      </c>
      <c r="G63" s="45">
        <f t="shared" si="2"/>
        <v>0.21023999999999998</v>
      </c>
    </row>
    <row r="64" spans="1:7">
      <c r="A64" s="31" t="s">
        <v>59</v>
      </c>
      <c r="B64" s="31" t="s">
        <v>58</v>
      </c>
      <c r="C64" s="31">
        <v>2.9000000000000001E-2</v>
      </c>
      <c r="D64" s="44">
        <f t="shared" si="0"/>
        <v>6.1411764705882358E-4</v>
      </c>
      <c r="E64" s="34">
        <f t="shared" si="1"/>
        <v>0.22415294117647061</v>
      </c>
      <c r="F64" s="45">
        <f t="shared" si="2"/>
        <v>6.1411764705882358E-4</v>
      </c>
      <c r="G64" s="45">
        <f t="shared" si="2"/>
        <v>0.22415294117647061</v>
      </c>
    </row>
    <row r="65" spans="1:7">
      <c r="A65" s="31" t="s">
        <v>89</v>
      </c>
      <c r="B65" s="31"/>
      <c r="C65" s="31"/>
      <c r="D65" s="47">
        <f>SUM(D38:D64)</f>
        <v>7.1073766588235276E-2</v>
      </c>
      <c r="E65" s="47">
        <f>SUM(E38:E64)</f>
        <v>25.941924804705881</v>
      </c>
      <c r="F65" s="47">
        <f>SUM(F38:F64)</f>
        <v>7.1073766588235276E-2</v>
      </c>
      <c r="G65" s="47">
        <f>SUM(G38:G64)</f>
        <v>25.941924804705881</v>
      </c>
    </row>
    <row r="139" spans="1:8">
      <c r="A139" s="230" t="s">
        <v>90</v>
      </c>
      <c r="B139" s="231"/>
      <c r="C139" s="231"/>
      <c r="D139" s="231"/>
      <c r="E139" s="232"/>
    </row>
    <row r="140" spans="1:8">
      <c r="A140" s="48" t="s">
        <v>91</v>
      </c>
      <c r="B140" s="49">
        <v>1.04E-5</v>
      </c>
      <c r="C140" s="68" t="s">
        <v>92</v>
      </c>
      <c r="D140" s="51" t="s">
        <v>93</v>
      </c>
      <c r="E140" s="52" t="e">
        <f>B140*#REF!</f>
        <v>#REF!</v>
      </c>
      <c r="F140" t="s">
        <v>94</v>
      </c>
    </row>
    <row r="141" spans="1:8">
      <c r="A141" s="48" t="s">
        <v>95</v>
      </c>
      <c r="B141" s="49">
        <v>1.0206E-2</v>
      </c>
      <c r="C141" s="68" t="s">
        <v>92</v>
      </c>
      <c r="D141" s="51" t="s">
        <v>93</v>
      </c>
      <c r="E141" s="52" t="e">
        <f>B141*#REF!</f>
        <v>#REF!</v>
      </c>
      <c r="F141" t="s">
        <v>94</v>
      </c>
    </row>
    <row r="142" spans="1:8">
      <c r="A142" s="48" t="s">
        <v>96</v>
      </c>
      <c r="B142" s="49">
        <v>2.4700000000000001E-5</v>
      </c>
      <c r="C142" s="68" t="s">
        <v>92</v>
      </c>
      <c r="D142" s="51" t="s">
        <v>93</v>
      </c>
      <c r="E142" s="53" t="e">
        <f>B142*#REF!</f>
        <v>#REF!</v>
      </c>
      <c r="F142" t="s">
        <v>94</v>
      </c>
      <c r="G142" s="24" t="e">
        <f>SUM(E140:E142)</f>
        <v>#REF!</v>
      </c>
      <c r="H142" t="s">
        <v>94</v>
      </c>
    </row>
    <row r="143" spans="1:8">
      <c r="A143" s="230" t="s">
        <v>97</v>
      </c>
      <c r="B143" s="231"/>
      <c r="C143" s="231"/>
      <c r="D143" s="231"/>
      <c r="E143" s="232"/>
      <c r="G143" t="e">
        <f>G142*1.10231</f>
        <v>#REF!</v>
      </c>
      <c r="H143" t="s">
        <v>98</v>
      </c>
    </row>
    <row r="144" spans="1:8">
      <c r="A144" s="48" t="s">
        <v>12</v>
      </c>
      <c r="B144" s="49">
        <v>7.76E-4</v>
      </c>
      <c r="C144" s="68" t="s">
        <v>99</v>
      </c>
      <c r="D144" s="51" t="s">
        <v>100</v>
      </c>
      <c r="E144" s="54" t="e">
        <f>B144*#REF!*#REF!/1000000/2000</f>
        <v>#REF!</v>
      </c>
    </row>
    <row r="145" spans="1:8">
      <c r="A145" s="48" t="s">
        <v>53</v>
      </c>
      <c r="B145" s="49">
        <v>2.81E-4</v>
      </c>
      <c r="C145" s="68" t="s">
        <v>99</v>
      </c>
      <c r="D145" s="51" t="s">
        <v>100</v>
      </c>
      <c r="E145" s="55" t="e">
        <f>B145*#REF!*#REF!/1000000/2000</f>
        <v>#REF!</v>
      </c>
      <c r="G145">
        <v>2490</v>
      </c>
    </row>
    <row r="146" spans="1:8">
      <c r="A146" s="48" t="s">
        <v>101</v>
      </c>
      <c r="B146" s="49">
        <v>1.93E-4</v>
      </c>
      <c r="C146" s="68" t="s">
        <v>99</v>
      </c>
      <c r="D146" s="51" t="s">
        <v>100</v>
      </c>
      <c r="E146" s="55" t="e">
        <f>B146*#REF!*#REF!/1000000/2000</f>
        <v>#REF!</v>
      </c>
      <c r="G146">
        <f>G145*1.10231</f>
        <v>2744.7518999999998</v>
      </c>
      <c r="H146" t="s">
        <v>98</v>
      </c>
    </row>
    <row r="147" spans="1:8">
      <c r="A147" s="48" t="s">
        <v>29</v>
      </c>
      <c r="B147" s="49">
        <v>7.8899999999999993E-5</v>
      </c>
      <c r="C147" s="68" t="s">
        <v>99</v>
      </c>
      <c r="D147" s="51" t="s">
        <v>100</v>
      </c>
      <c r="E147" s="55" t="e">
        <f>B147*#REF!*#REF!/1000000/2000</f>
        <v>#REF!</v>
      </c>
    </row>
    <row r="148" spans="1:8">
      <c r="A148" s="48" t="s">
        <v>2</v>
      </c>
      <c r="B148" s="49">
        <v>2.5199999999999999E-5</v>
      </c>
      <c r="C148" s="68" t="s">
        <v>99</v>
      </c>
      <c r="D148" s="51" t="s">
        <v>100</v>
      </c>
      <c r="E148" s="56" t="e">
        <f>B148*#REF!*#REF!/1000000/2000</f>
        <v>#REF!</v>
      </c>
    </row>
    <row r="149" spans="1:8">
      <c r="A149" s="48" t="s">
        <v>4</v>
      </c>
      <c r="B149" s="49">
        <v>7.8800000000000008E-6</v>
      </c>
      <c r="C149" s="68" t="s">
        <v>99</v>
      </c>
      <c r="D149" s="51" t="s">
        <v>100</v>
      </c>
      <c r="E149" s="56" t="e">
        <f>B149*#REF!*#REF!/1000000/2000</f>
        <v>#REF!</v>
      </c>
    </row>
    <row r="150" spans="1:8">
      <c r="A150" s="48" t="s">
        <v>102</v>
      </c>
      <c r="B150" s="49">
        <v>1.2999999999999999E-4</v>
      </c>
      <c r="C150" s="68" t="s">
        <v>99</v>
      </c>
      <c r="D150" s="51" t="s">
        <v>100</v>
      </c>
      <c r="E150" s="55" t="e">
        <f>B150*#REF!*#REF!/1000000/2000</f>
        <v>#REF!</v>
      </c>
    </row>
    <row r="151" spans="1:8">
      <c r="A151" s="48" t="s">
        <v>103</v>
      </c>
      <c r="B151" s="49">
        <v>2.12E-4</v>
      </c>
      <c r="C151" s="68" t="s">
        <v>99</v>
      </c>
      <c r="D151" s="51" t="s">
        <v>100</v>
      </c>
      <c r="E151" s="55" t="e">
        <f>B151*#REF!*#REF!/1000000/2000</f>
        <v>#REF!</v>
      </c>
    </row>
    <row r="152" spans="1:8">
      <c r="A152" s="48" t="s">
        <v>104</v>
      </c>
      <c r="B152" s="49"/>
      <c r="C152" s="68"/>
      <c r="D152" s="48"/>
      <c r="E152" s="54" t="e">
        <f>SUM(E144:E151)</f>
        <v>#REF!</v>
      </c>
    </row>
    <row r="153" spans="1:8">
      <c r="B153" s="57"/>
      <c r="C153" s="3"/>
      <c r="E153" s="24"/>
    </row>
    <row r="154" spans="1:8">
      <c r="A154" t="s">
        <v>105</v>
      </c>
      <c r="B154" s="57"/>
      <c r="C154" s="3"/>
      <c r="E154" s="24"/>
    </row>
    <row r="155" spans="1:8">
      <c r="A155" t="s">
        <v>106</v>
      </c>
      <c r="B155" s="57"/>
      <c r="C155" s="3"/>
      <c r="E155" s="24"/>
    </row>
    <row r="156" spans="1:8">
      <c r="A156" t="s">
        <v>107</v>
      </c>
      <c r="B156" s="57"/>
      <c r="C156" s="3"/>
      <c r="E156" s="24"/>
    </row>
    <row r="157" spans="1:8">
      <c r="A157" t="s">
        <v>108</v>
      </c>
      <c r="B157" s="57"/>
      <c r="C157" s="3"/>
      <c r="E157" s="24"/>
    </row>
    <row r="158" spans="1:8">
      <c r="A158" t="s">
        <v>109</v>
      </c>
      <c r="B158" s="57"/>
      <c r="C158" s="3"/>
      <c r="E158" s="24"/>
    </row>
    <row r="160" spans="1:8">
      <c r="A160" s="58" t="s">
        <v>110</v>
      </c>
    </row>
    <row r="162" spans="1:7">
      <c r="A162" s="68" t="s">
        <v>77</v>
      </c>
      <c r="B162" s="68" t="s">
        <v>78</v>
      </c>
      <c r="C162" s="68" t="s">
        <v>79</v>
      </c>
      <c r="D162" s="68" t="s">
        <v>80</v>
      </c>
      <c r="E162" s="68" t="s">
        <v>81</v>
      </c>
      <c r="F162" s="59" t="s">
        <v>111</v>
      </c>
      <c r="G162" s="68" t="s">
        <v>112</v>
      </c>
    </row>
    <row r="163" spans="1:7">
      <c r="A163" s="228" t="s">
        <v>61</v>
      </c>
      <c r="B163" s="233"/>
      <c r="C163" s="233"/>
      <c r="D163" s="233"/>
      <c r="E163" s="233"/>
      <c r="F163" s="233"/>
      <c r="G163" s="229"/>
    </row>
    <row r="164" spans="1:7">
      <c r="A164" s="60" t="e">
        <f>#REF!</f>
        <v>#REF!</v>
      </c>
      <c r="B164" s="60" t="e">
        <f>#REF!</f>
        <v>#REF!</v>
      </c>
      <c r="C164" s="60" t="e">
        <f>#REF!</f>
        <v>#REF!</v>
      </c>
      <c r="D164" s="61" t="e">
        <f>#REF!</f>
        <v>#REF!</v>
      </c>
      <c r="E164" s="61" t="e">
        <f>#REF!</f>
        <v>#REF!</v>
      </c>
      <c r="F164" s="60" t="e">
        <f>SUM(E140:E142)</f>
        <v>#REF!</v>
      </c>
      <c r="G164" s="54" t="e">
        <f>E152</f>
        <v>#REF!</v>
      </c>
    </row>
    <row r="168" spans="1:7" ht="23.5">
      <c r="A168" s="62"/>
      <c r="C168" s="12"/>
      <c r="D168" s="12"/>
      <c r="E168" s="12"/>
      <c r="F168" s="13"/>
    </row>
    <row r="169" spans="1:7" ht="23.5">
      <c r="A169" s="62"/>
      <c r="C169" s="12"/>
      <c r="D169" s="12"/>
      <c r="E169" s="12"/>
      <c r="F169" s="13"/>
    </row>
    <row r="170" spans="1:7" ht="23.5">
      <c r="A170" s="62"/>
      <c r="C170" s="12"/>
      <c r="D170" s="12"/>
      <c r="E170" s="12"/>
      <c r="F170" s="13"/>
    </row>
    <row r="171" spans="1:7" ht="23.5">
      <c r="A171" s="62"/>
      <c r="C171" s="12"/>
      <c r="D171" s="12"/>
      <c r="E171" s="12"/>
      <c r="F171" s="13"/>
    </row>
    <row r="172" spans="1:7" ht="23.5">
      <c r="A172" s="62"/>
      <c r="C172" s="12"/>
      <c r="D172" s="12"/>
      <c r="E172" s="12"/>
      <c r="F172" s="13"/>
    </row>
    <row r="173" spans="1:7" ht="23.5">
      <c r="A173" s="62"/>
      <c r="C173" s="12"/>
      <c r="D173" s="12"/>
      <c r="E173" s="12"/>
      <c r="F173" s="13"/>
    </row>
    <row r="174" spans="1:7" ht="23.5">
      <c r="A174" s="62"/>
      <c r="C174" s="12"/>
      <c r="D174" s="12"/>
      <c r="E174" s="12"/>
      <c r="F174" s="13"/>
    </row>
    <row r="175" spans="1:7" ht="23.5">
      <c r="A175" s="62"/>
      <c r="B175" s="11"/>
      <c r="C175" s="12"/>
      <c r="D175" s="12"/>
      <c r="E175" s="12"/>
      <c r="F175" s="13"/>
    </row>
    <row r="177" spans="1:6">
      <c r="A177" s="58"/>
    </row>
    <row r="178" spans="1:6">
      <c r="A178" s="58"/>
    </row>
    <row r="179" spans="1:6">
      <c r="A179" t="s">
        <v>113</v>
      </c>
      <c r="B179" s="22">
        <v>624500</v>
      </c>
      <c r="C179" t="s">
        <v>114</v>
      </c>
    </row>
    <row r="180" spans="1:6">
      <c r="A180" t="s">
        <v>115</v>
      </c>
      <c r="B180" s="22">
        <v>138000</v>
      </c>
      <c r="C180" t="s">
        <v>116</v>
      </c>
    </row>
    <row r="182" spans="1:6" ht="20" customHeight="1">
      <c r="A182" s="234" t="s">
        <v>75</v>
      </c>
      <c r="B182" s="235" t="s">
        <v>117</v>
      </c>
      <c r="C182" s="235"/>
      <c r="D182" s="235"/>
      <c r="E182" s="236" t="s">
        <v>118</v>
      </c>
    </row>
    <row r="183" spans="1:6" ht="31" customHeight="1">
      <c r="A183" s="234"/>
      <c r="B183" s="68" t="s">
        <v>119</v>
      </c>
      <c r="C183" s="68" t="s">
        <v>120</v>
      </c>
      <c r="D183" s="68" t="s">
        <v>0</v>
      </c>
      <c r="E183" s="237"/>
    </row>
    <row r="184" spans="1:6" ht="17" customHeight="1">
      <c r="A184" s="238" t="s">
        <v>121</v>
      </c>
      <c r="B184" s="239"/>
      <c r="C184" s="239"/>
      <c r="D184" s="239"/>
      <c r="E184" s="240"/>
    </row>
    <row r="185" spans="1:6">
      <c r="A185" s="48" t="s">
        <v>77</v>
      </c>
      <c r="B185" s="49" t="e">
        <f>#REF!</f>
        <v>#REF!</v>
      </c>
      <c r="C185" s="68" t="s">
        <v>122</v>
      </c>
      <c r="D185" s="51" t="s">
        <v>123</v>
      </c>
      <c r="E185" s="52" t="e">
        <f>B185*$B$179/2000</f>
        <v>#REF!</v>
      </c>
    </row>
    <row r="186" spans="1:6">
      <c r="A186" s="48" t="s">
        <v>78</v>
      </c>
      <c r="B186" s="49" t="e">
        <f>#REF!</f>
        <v>#REF!</v>
      </c>
      <c r="C186" s="68" t="s">
        <v>122</v>
      </c>
      <c r="D186" s="51" t="s">
        <v>123</v>
      </c>
      <c r="E186" s="52" t="e">
        <f>B186*$B$179/2000</f>
        <v>#REF!</v>
      </c>
    </row>
    <row r="187" spans="1:6">
      <c r="A187" s="48" t="s">
        <v>79</v>
      </c>
      <c r="B187" s="49" t="e">
        <f>#REF!</f>
        <v>#REF!</v>
      </c>
      <c r="C187" s="68" t="s">
        <v>122</v>
      </c>
      <c r="D187" s="51" t="s">
        <v>123</v>
      </c>
      <c r="E187" s="53" t="e">
        <f>B187*$B$179/2000</f>
        <v>#REF!</v>
      </c>
    </row>
    <row r="188" spans="1:6">
      <c r="A188" s="48" t="s">
        <v>80</v>
      </c>
      <c r="B188" s="49" t="e">
        <f>#REF!</f>
        <v>#REF!</v>
      </c>
      <c r="C188" s="68" t="s">
        <v>122</v>
      </c>
      <c r="D188" s="51" t="s">
        <v>123</v>
      </c>
      <c r="E188" s="53" t="e">
        <f>B188*$B$179/2000</f>
        <v>#REF!</v>
      </c>
    </row>
    <row r="189" spans="1:6">
      <c r="A189" s="48" t="s">
        <v>81</v>
      </c>
      <c r="B189" s="49" t="e">
        <f>#REF!</f>
        <v>#REF!</v>
      </c>
      <c r="C189" s="68" t="s">
        <v>122</v>
      </c>
      <c r="D189" s="51" t="s">
        <v>123</v>
      </c>
      <c r="E189" s="53" t="e">
        <f>B189*$B$179/2000</f>
        <v>#REF!</v>
      </c>
    </row>
    <row r="190" spans="1:6">
      <c r="A190" s="48" t="s">
        <v>124</v>
      </c>
      <c r="B190" s="49">
        <v>8.3000000000000001E-3</v>
      </c>
      <c r="C190" s="68" t="s">
        <v>125</v>
      </c>
      <c r="D190" s="51" t="s">
        <v>126</v>
      </c>
      <c r="E190" s="55">
        <f>B190*B179/1000/2000</f>
        <v>2.5916750000000003E-3</v>
      </c>
    </row>
    <row r="191" spans="1:6">
      <c r="A191" s="230" t="s">
        <v>90</v>
      </c>
      <c r="B191" s="231"/>
      <c r="C191" s="231"/>
      <c r="D191" s="231"/>
      <c r="E191" s="232"/>
    </row>
    <row r="192" spans="1:6">
      <c r="A192" s="48" t="s">
        <v>91</v>
      </c>
      <c r="B192" s="49">
        <v>1.04E-5</v>
      </c>
      <c r="C192" s="68" t="s">
        <v>92</v>
      </c>
      <c r="D192" s="51" t="s">
        <v>93</v>
      </c>
      <c r="E192" s="52">
        <f>B192*$B$179</f>
        <v>6.4948000000000006</v>
      </c>
      <c r="F192" t="s">
        <v>94</v>
      </c>
    </row>
    <row r="193" spans="1:6">
      <c r="A193" s="48" t="s">
        <v>95</v>
      </c>
      <c r="B193" s="49">
        <v>1.0206E-2</v>
      </c>
      <c r="C193" s="68" t="s">
        <v>92</v>
      </c>
      <c r="D193" s="51" t="s">
        <v>93</v>
      </c>
      <c r="E193" s="65">
        <f>B193*$B$179</f>
        <v>6373.6469999999999</v>
      </c>
      <c r="F193" t="s">
        <v>94</v>
      </c>
    </row>
    <row r="194" spans="1:6">
      <c r="A194" s="48" t="s">
        <v>96</v>
      </c>
      <c r="B194" s="49">
        <v>2.4700000000000001E-5</v>
      </c>
      <c r="C194" s="68" t="s">
        <v>92</v>
      </c>
      <c r="D194" s="51" t="s">
        <v>93</v>
      </c>
      <c r="E194" s="52">
        <f>B194*$B$179</f>
        <v>15.42515</v>
      </c>
      <c r="F194" t="s">
        <v>94</v>
      </c>
    </row>
    <row r="195" spans="1:6">
      <c r="A195" s="230" t="s">
        <v>97</v>
      </c>
      <c r="B195" s="231"/>
      <c r="C195" s="231"/>
      <c r="D195" s="231"/>
      <c r="E195" s="232"/>
    </row>
    <row r="196" spans="1:6">
      <c r="A196" s="48" t="s">
        <v>12</v>
      </c>
      <c r="B196" s="49">
        <v>7.76E-4</v>
      </c>
      <c r="C196" s="68" t="s">
        <v>99</v>
      </c>
      <c r="D196" s="51" t="s">
        <v>100</v>
      </c>
      <c r="E196" s="54">
        <f t="shared" ref="E196:E203" si="3">B196*$B$179*$B$180/1000000/2000</f>
        <v>3.3438228E-2</v>
      </c>
    </row>
    <row r="197" spans="1:6">
      <c r="A197" s="48" t="s">
        <v>53</v>
      </c>
      <c r="B197" s="49">
        <v>2.81E-4</v>
      </c>
      <c r="C197" s="68" t="s">
        <v>99</v>
      </c>
      <c r="D197" s="51" t="s">
        <v>100</v>
      </c>
      <c r="E197" s="55">
        <f t="shared" si="3"/>
        <v>1.2108430500000001E-2</v>
      </c>
    </row>
    <row r="198" spans="1:6">
      <c r="A198" s="48" t="s">
        <v>101</v>
      </c>
      <c r="B198" s="49">
        <v>1.93E-4</v>
      </c>
      <c r="C198" s="68" t="s">
        <v>99</v>
      </c>
      <c r="D198" s="51" t="s">
        <v>100</v>
      </c>
      <c r="E198" s="55">
        <f t="shared" si="3"/>
        <v>8.3164665000000013E-3</v>
      </c>
    </row>
    <row r="199" spans="1:6">
      <c r="A199" s="48" t="s">
        <v>29</v>
      </c>
      <c r="B199" s="49">
        <v>7.8899999999999993E-5</v>
      </c>
      <c r="C199" s="68" t="s">
        <v>99</v>
      </c>
      <c r="D199" s="51" t="s">
        <v>100</v>
      </c>
      <c r="E199" s="55">
        <f t="shared" si="3"/>
        <v>3.3998404499999998E-3</v>
      </c>
    </row>
    <row r="200" spans="1:6">
      <c r="A200" s="48" t="s">
        <v>2</v>
      </c>
      <c r="B200" s="49">
        <v>2.5199999999999999E-5</v>
      </c>
      <c r="C200" s="68" t="s">
        <v>99</v>
      </c>
      <c r="D200" s="51" t="s">
        <v>100</v>
      </c>
      <c r="E200" s="56">
        <f t="shared" si="3"/>
        <v>1.0858805999999998E-3</v>
      </c>
    </row>
    <row r="201" spans="1:6">
      <c r="A201" s="48" t="s">
        <v>4</v>
      </c>
      <c r="B201" s="49">
        <v>7.8800000000000008E-6</v>
      </c>
      <c r="C201" s="68" t="s">
        <v>99</v>
      </c>
      <c r="D201" s="51" t="s">
        <v>100</v>
      </c>
      <c r="E201" s="56">
        <f t="shared" si="3"/>
        <v>3.3955314000000007E-4</v>
      </c>
    </row>
    <row r="202" spans="1:6">
      <c r="A202" s="48" t="s">
        <v>102</v>
      </c>
      <c r="B202" s="49">
        <v>1.2999999999999999E-4</v>
      </c>
      <c r="C202" s="68" t="s">
        <v>99</v>
      </c>
      <c r="D202" s="51" t="s">
        <v>100</v>
      </c>
      <c r="E202" s="55">
        <f t="shared" si="3"/>
        <v>5.6017649999999999E-3</v>
      </c>
    </row>
    <row r="203" spans="1:6">
      <c r="A203" s="48" t="s">
        <v>103</v>
      </c>
      <c r="B203" s="49">
        <v>2.12E-4</v>
      </c>
      <c r="C203" s="68" t="s">
        <v>99</v>
      </c>
      <c r="D203" s="51" t="s">
        <v>100</v>
      </c>
      <c r="E203" s="55">
        <f t="shared" si="3"/>
        <v>9.135186E-3</v>
      </c>
    </row>
    <row r="204" spans="1:6">
      <c r="A204" s="48" t="s">
        <v>104</v>
      </c>
      <c r="B204" s="49"/>
      <c r="C204" s="68"/>
      <c r="D204" s="48"/>
      <c r="E204" s="54">
        <f>SUM(E196:E203)</f>
        <v>7.3425350190000002E-2</v>
      </c>
    </row>
    <row r="205" spans="1:6">
      <c r="B205" s="57"/>
      <c r="C205" s="3"/>
      <c r="E205" s="24"/>
    </row>
    <row r="206" spans="1:6">
      <c r="A206" t="s">
        <v>105</v>
      </c>
      <c r="B206" s="57"/>
      <c r="C206" s="3"/>
      <c r="E206" s="24"/>
    </row>
    <row r="207" spans="1:6">
      <c r="A207" t="s">
        <v>106</v>
      </c>
      <c r="B207" s="57"/>
      <c r="C207" s="3"/>
      <c r="E207" s="24"/>
    </row>
    <row r="208" spans="1:6">
      <c r="A208" t="s">
        <v>107</v>
      </c>
      <c r="B208" s="57"/>
      <c r="C208" s="3"/>
      <c r="E208" s="24"/>
    </row>
    <row r="209" spans="1:7">
      <c r="A209" t="s">
        <v>108</v>
      </c>
      <c r="B209" s="57"/>
      <c r="C209" s="3"/>
      <c r="E209" s="24"/>
    </row>
    <row r="210" spans="1:7">
      <c r="B210" s="57"/>
      <c r="C210" s="3"/>
      <c r="E210" s="24"/>
    </row>
    <row r="212" spans="1:7">
      <c r="A212" s="58" t="s">
        <v>127</v>
      </c>
    </row>
    <row r="214" spans="1:7">
      <c r="A214" s="68" t="s">
        <v>77</v>
      </c>
      <c r="B214" s="68" t="s">
        <v>78</v>
      </c>
      <c r="C214" s="68" t="s">
        <v>79</v>
      </c>
      <c r="D214" s="68" t="s">
        <v>80</v>
      </c>
      <c r="E214" s="68" t="s">
        <v>81</v>
      </c>
      <c r="F214" s="59" t="s">
        <v>111</v>
      </c>
      <c r="G214" s="68" t="s">
        <v>112</v>
      </c>
    </row>
    <row r="215" spans="1:7">
      <c r="A215" s="228" t="s">
        <v>61</v>
      </c>
      <c r="B215" s="233"/>
      <c r="C215" s="233"/>
      <c r="D215" s="233"/>
      <c r="E215" s="233"/>
      <c r="F215" s="233"/>
      <c r="G215" s="229"/>
    </row>
    <row r="216" spans="1:7">
      <c r="A216" s="60" t="e">
        <f>E185</f>
        <v>#REF!</v>
      </c>
      <c r="B216" s="60" t="e">
        <f>E186</f>
        <v>#REF!</v>
      </c>
      <c r="C216" s="60" t="e">
        <f>E187</f>
        <v>#REF!</v>
      </c>
      <c r="D216" s="61" t="e">
        <f>E188</f>
        <v>#REF!</v>
      </c>
      <c r="E216" s="61" t="e">
        <f>E189</f>
        <v>#REF!</v>
      </c>
      <c r="F216" s="60">
        <f>SUM(E192:E194)</f>
        <v>6395.5669500000004</v>
      </c>
      <c r="G216" s="54">
        <f>E204</f>
        <v>7.3425350190000002E-2</v>
      </c>
    </row>
  </sheetData>
  <mergeCells count="14">
    <mergeCell ref="A143:E143"/>
    <mergeCell ref="A21:C21"/>
    <mergeCell ref="A30:C30"/>
    <mergeCell ref="A36:E36"/>
    <mergeCell ref="F36:G36"/>
    <mergeCell ref="A139:E139"/>
    <mergeCell ref="A195:E195"/>
    <mergeCell ref="A215:G215"/>
    <mergeCell ref="A163:G163"/>
    <mergeCell ref="A182:A183"/>
    <mergeCell ref="B182:D182"/>
    <mergeCell ref="E182:E183"/>
    <mergeCell ref="A184:E184"/>
    <mergeCell ref="A191:E191"/>
  </mergeCells>
  <pageMargins left="0.7" right="0.7" top="0.75" bottom="0.75" header="0.3" footer="0.3"/>
  <pageSetup scale="96" fitToHeight="2" orientation="portrait"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DCB28-EB15-DA49-8A3E-7445F726FC8D}">
  <sheetPr>
    <tabColor rgb="FF008000"/>
    <pageSetUpPr fitToPage="1"/>
  </sheetPr>
  <dimension ref="A1:H216"/>
  <sheetViews>
    <sheetView tabSelected="1" topLeftCell="A28" zoomScale="84" zoomScaleNormal="84" workbookViewId="0">
      <selection activeCell="O40" sqref="O40"/>
    </sheetView>
  </sheetViews>
  <sheetFormatPr defaultColWidth="11" defaultRowHeight="15.5"/>
  <cols>
    <col min="1" max="1" width="33.5" customWidth="1"/>
    <col min="2" max="2" width="15.83203125" customWidth="1"/>
    <col min="3" max="3" width="15.33203125" customWidth="1"/>
    <col min="4" max="8" width="9.6640625" customWidth="1"/>
  </cols>
  <sheetData>
    <row r="1" spans="1:8" ht="21">
      <c r="A1" s="10"/>
      <c r="B1" s="11"/>
      <c r="C1" s="12"/>
      <c r="D1" s="12"/>
      <c r="E1" s="12"/>
      <c r="F1" s="13"/>
    </row>
    <row r="3" spans="1:8">
      <c r="A3" s="14"/>
    </row>
    <row r="4" spans="1:8" ht="18">
      <c r="A4" s="15" t="s">
        <v>288</v>
      </c>
    </row>
    <row r="6" spans="1:8" s="20" customFormat="1">
      <c r="A6" s="18" t="s">
        <v>280</v>
      </c>
      <c r="B6" s="17">
        <v>27</v>
      </c>
      <c r="C6" s="18"/>
      <c r="D6" s="19"/>
      <c r="F6"/>
      <c r="G6"/>
      <c r="H6"/>
    </row>
    <row r="7" spans="1:8" s="20" customFormat="1">
      <c r="A7" s="18" t="s">
        <v>62</v>
      </c>
      <c r="B7" s="21">
        <v>0.2</v>
      </c>
      <c r="C7" s="18" t="s">
        <v>63</v>
      </c>
      <c r="D7" s="19"/>
      <c r="F7"/>
      <c r="G7"/>
      <c r="H7"/>
    </row>
    <row r="8" spans="1:8">
      <c r="A8" s="18" t="s">
        <v>64</v>
      </c>
      <c r="B8" s="22">
        <v>1020</v>
      </c>
      <c r="C8" t="s">
        <v>65</v>
      </c>
    </row>
    <row r="9" spans="1:8">
      <c r="A9" s="18" t="s">
        <v>66</v>
      </c>
      <c r="B9" s="22">
        <v>24</v>
      </c>
    </row>
    <row r="10" spans="1:8">
      <c r="A10" s="18" t="s">
        <v>67</v>
      </c>
      <c r="B10" s="17">
        <v>8760</v>
      </c>
    </row>
    <row r="11" spans="1:8">
      <c r="A11" s="18" t="s">
        <v>129</v>
      </c>
      <c r="B11" s="23">
        <v>0.13</v>
      </c>
    </row>
    <row r="12" spans="1:8" ht="15.75" customHeight="1">
      <c r="A12" s="18" t="s">
        <v>68</v>
      </c>
      <c r="B12" s="24">
        <f>B6*B7*B10*B11</f>
        <v>6149.52</v>
      </c>
      <c r="C12" t="s">
        <v>69</v>
      </c>
      <c r="D12" s="25"/>
    </row>
    <row r="13" spans="1:8" ht="15.75" customHeight="1">
      <c r="A13" s="18" t="s">
        <v>68</v>
      </c>
      <c r="B13" s="24">
        <f>B12/B8</f>
        <v>6.0289411764705889</v>
      </c>
      <c r="C13" t="s">
        <v>70</v>
      </c>
      <c r="D13" s="25"/>
    </row>
    <row r="14" spans="1:8">
      <c r="A14" s="18"/>
      <c r="B14" s="22"/>
    </row>
    <row r="15" spans="1:8" ht="15.75" customHeight="1">
      <c r="A15" s="18"/>
      <c r="B15" s="24"/>
      <c r="D15" s="25"/>
    </row>
    <row r="16" spans="1:8" s="20" customFormat="1">
      <c r="A16" s="16" t="s">
        <v>128</v>
      </c>
      <c r="B16" s="17"/>
      <c r="C16" s="18"/>
      <c r="D16" s="19"/>
    </row>
    <row r="17" spans="1:4" ht="15.75" customHeight="1">
      <c r="A17" s="18" t="s">
        <v>71</v>
      </c>
      <c r="B17" s="24">
        <f>B12</f>
        <v>6149.52</v>
      </c>
      <c r="C17" t="s">
        <v>69</v>
      </c>
      <c r="D17" s="25"/>
    </row>
    <row r="18" spans="1:4" ht="15.75" customHeight="1">
      <c r="A18" s="18" t="s">
        <v>71</v>
      </c>
      <c r="B18" s="24">
        <f>B13</f>
        <v>6.0289411764705889</v>
      </c>
      <c r="C18" t="s">
        <v>70</v>
      </c>
      <c r="D18" s="25"/>
    </row>
    <row r="19" spans="1:4" ht="15.75" customHeight="1">
      <c r="A19" s="18" t="s">
        <v>72</v>
      </c>
      <c r="B19" s="27">
        <f>B6*B7/B8*B9</f>
        <v>0.12705882352941178</v>
      </c>
      <c r="C19" t="s">
        <v>73</v>
      </c>
      <c r="D19" s="25"/>
    </row>
    <row r="20" spans="1:4" ht="15.75" customHeight="1">
      <c r="A20" s="18"/>
      <c r="B20" s="24"/>
      <c r="D20" s="28"/>
    </row>
    <row r="21" spans="1:4" ht="18" customHeight="1">
      <c r="A21" s="241" t="s">
        <v>74</v>
      </c>
      <c r="B21" s="241"/>
      <c r="C21" s="241"/>
    </row>
    <row r="22" spans="1:4" ht="47" customHeight="1">
      <c r="A22" s="29" t="s">
        <v>75</v>
      </c>
      <c r="B22" s="30" t="s">
        <v>76</v>
      </c>
      <c r="C22" s="29" t="s">
        <v>130</v>
      </c>
    </row>
    <row r="23" spans="1:4" ht="15.75" customHeight="1">
      <c r="A23" s="31" t="s">
        <v>77</v>
      </c>
      <c r="B23" s="31">
        <v>100</v>
      </c>
      <c r="C23" s="32">
        <f>B23*$B$18/2000</f>
        <v>0.30144705882352946</v>
      </c>
    </row>
    <row r="24" spans="1:4" ht="15.75" customHeight="1">
      <c r="A24" s="31" t="s">
        <v>78</v>
      </c>
      <c r="B24" s="31">
        <v>84</v>
      </c>
      <c r="C24" s="32">
        <f>B24*$B$18/2000</f>
        <v>0.25321552941176473</v>
      </c>
    </row>
    <row r="25" spans="1:4" ht="15.75" customHeight="1">
      <c r="A25" s="31" t="s">
        <v>79</v>
      </c>
      <c r="B25" s="31">
        <v>5.5</v>
      </c>
      <c r="C25" s="33">
        <f>B25*$B$18/2000</f>
        <v>1.6579588235294117E-2</v>
      </c>
    </row>
    <row r="26" spans="1:4" ht="15.75" customHeight="1">
      <c r="A26" s="31" t="s">
        <v>80</v>
      </c>
      <c r="B26" s="31">
        <v>2.5</v>
      </c>
      <c r="C26" s="34">
        <f>B26*$B$18/2000</f>
        <v>7.5361764705882362E-3</v>
      </c>
    </row>
    <row r="27" spans="1:4">
      <c r="A27" s="31" t="s">
        <v>81</v>
      </c>
      <c r="B27" s="31">
        <v>2.6</v>
      </c>
      <c r="C27" s="33">
        <f>B27*$B$18/2000</f>
        <v>7.8376235294117663E-3</v>
      </c>
    </row>
    <row r="28" spans="1:4">
      <c r="A28" s="35" t="s">
        <v>82</v>
      </c>
      <c r="B28" s="36"/>
      <c r="C28" s="37"/>
    </row>
    <row r="29" spans="1:4">
      <c r="A29" s="38"/>
      <c r="B29" s="38"/>
      <c r="C29" s="39"/>
    </row>
    <row r="30" spans="1:4" ht="18" customHeight="1">
      <c r="A30" s="241" t="s">
        <v>83</v>
      </c>
      <c r="B30" s="241"/>
      <c r="C30" s="241"/>
    </row>
    <row r="31" spans="1:4" ht="49" customHeight="1">
      <c r="A31" s="29" t="s">
        <v>75</v>
      </c>
      <c r="B31" s="30" t="s">
        <v>84</v>
      </c>
      <c r="C31" s="29" t="s">
        <v>130</v>
      </c>
    </row>
    <row r="32" spans="1:4">
      <c r="A32" s="31" t="s">
        <v>85</v>
      </c>
      <c r="B32" s="31">
        <v>53.114800000000002</v>
      </c>
      <c r="C32" s="33">
        <f>(B32*B17/1000)*1.10231</f>
        <v>360.04809389810981</v>
      </c>
    </row>
    <row r="33" spans="1:7">
      <c r="A33" s="35" t="s">
        <v>86</v>
      </c>
      <c r="B33" s="36"/>
      <c r="C33" s="37"/>
    </row>
    <row r="34" spans="1:7">
      <c r="C34" s="26"/>
    </row>
    <row r="35" spans="1:7">
      <c r="C35" s="26"/>
    </row>
    <row r="36" spans="1:7" ht="18" customHeight="1">
      <c r="A36" s="242" t="s">
        <v>87</v>
      </c>
      <c r="B36" s="243"/>
      <c r="C36" s="243"/>
      <c r="D36" s="243"/>
      <c r="E36" s="244"/>
      <c r="F36" s="245" t="s">
        <v>131</v>
      </c>
      <c r="G36" s="246"/>
    </row>
    <row r="37" spans="1:7" ht="52" customHeight="1">
      <c r="A37" s="40" t="s">
        <v>75</v>
      </c>
      <c r="B37" s="40" t="s">
        <v>88</v>
      </c>
      <c r="C37" s="41" t="s">
        <v>76</v>
      </c>
      <c r="D37" s="64" t="s">
        <v>132</v>
      </c>
      <c r="E37" s="64" t="s">
        <v>133</v>
      </c>
      <c r="F37" s="64" t="s">
        <v>132</v>
      </c>
      <c r="G37" s="64" t="s">
        <v>133</v>
      </c>
    </row>
    <row r="38" spans="1:7">
      <c r="A38" s="31" t="s">
        <v>12</v>
      </c>
      <c r="B38" s="31" t="s">
        <v>11</v>
      </c>
      <c r="C38" s="31">
        <v>8.0000000000000002E-3</v>
      </c>
      <c r="D38" s="44">
        <f t="shared" ref="D38:D64" si="0">C38*$B$19</f>
        <v>1.0164705882352942E-3</v>
      </c>
      <c r="E38" s="34">
        <f t="shared" ref="E38:E64" si="1">C38*$B$18</f>
        <v>4.8231529411764715E-2</v>
      </c>
      <c r="F38" s="45">
        <f t="shared" ref="F38:G64" si="2">D38/$B$6</f>
        <v>3.7647058823529415E-5</v>
      </c>
      <c r="G38" s="45">
        <f t="shared" si="2"/>
        <v>1.7863529411764709E-3</v>
      </c>
    </row>
    <row r="39" spans="1:7">
      <c r="A39" s="31" t="s">
        <v>29</v>
      </c>
      <c r="B39" s="31" t="s">
        <v>28</v>
      </c>
      <c r="C39" s="31">
        <v>1.7000000000000001E-2</v>
      </c>
      <c r="D39" s="44">
        <f t="shared" si="0"/>
        <v>2.1600000000000005E-3</v>
      </c>
      <c r="E39" s="34">
        <f t="shared" si="1"/>
        <v>0.10249200000000001</v>
      </c>
      <c r="F39" s="45">
        <f t="shared" si="2"/>
        <v>8.000000000000002E-5</v>
      </c>
      <c r="G39" s="45">
        <f t="shared" si="2"/>
        <v>3.7960000000000003E-3</v>
      </c>
    </row>
    <row r="40" spans="1:7">
      <c r="A40" s="31" t="s">
        <v>47</v>
      </c>
      <c r="B40" s="31">
        <v>401</v>
      </c>
      <c r="C40" s="31">
        <v>1E-4</v>
      </c>
      <c r="D40" s="44">
        <f t="shared" si="0"/>
        <v>1.2705882352941179E-5</v>
      </c>
      <c r="E40" s="34">
        <f t="shared" si="1"/>
        <v>6.0289411764705896E-4</v>
      </c>
      <c r="F40" s="45">
        <f t="shared" si="2"/>
        <v>4.7058823529411772E-7</v>
      </c>
      <c r="G40" s="45">
        <f t="shared" si="2"/>
        <v>2.2329411764705888E-5</v>
      </c>
    </row>
    <row r="41" spans="1:7">
      <c r="A41" s="31" t="s">
        <v>14</v>
      </c>
      <c r="B41" s="31" t="s">
        <v>13</v>
      </c>
      <c r="C41" s="31">
        <v>1.1999999999999999E-6</v>
      </c>
      <c r="D41" s="44">
        <f t="shared" si="0"/>
        <v>1.5247058823529414E-7</v>
      </c>
      <c r="E41" s="34">
        <f t="shared" si="1"/>
        <v>7.234729411764706E-6</v>
      </c>
      <c r="F41" s="45">
        <f t="shared" si="2"/>
        <v>5.6470588235294128E-9</v>
      </c>
      <c r="G41" s="45">
        <f t="shared" si="2"/>
        <v>2.6795294117647057E-7</v>
      </c>
    </row>
    <row r="42" spans="1:7">
      <c r="A42" s="31" t="s">
        <v>42</v>
      </c>
      <c r="B42" s="31" t="s">
        <v>41</v>
      </c>
      <c r="C42" s="31">
        <v>2.9999999999999997E-4</v>
      </c>
      <c r="D42" s="44">
        <f t="shared" si="0"/>
        <v>3.8117647058823529E-5</v>
      </c>
      <c r="E42" s="34">
        <f t="shared" si="1"/>
        <v>1.8086823529411765E-3</v>
      </c>
      <c r="F42" s="45">
        <f t="shared" si="2"/>
        <v>1.4117647058823529E-6</v>
      </c>
      <c r="G42" s="45">
        <f t="shared" si="2"/>
        <v>6.6988235294117648E-5</v>
      </c>
    </row>
    <row r="43" spans="1:7">
      <c r="A43" s="31" t="s">
        <v>2</v>
      </c>
      <c r="B43" s="31" t="s">
        <v>1</v>
      </c>
      <c r="C43" s="31">
        <v>4.3E-3</v>
      </c>
      <c r="D43" s="44">
        <f t="shared" si="0"/>
        <v>5.4635294117647069E-4</v>
      </c>
      <c r="E43" s="34">
        <f t="shared" si="1"/>
        <v>2.5924447058823533E-2</v>
      </c>
      <c r="F43" s="45">
        <f t="shared" si="2"/>
        <v>2.0235294117647062E-5</v>
      </c>
      <c r="G43" s="45">
        <f t="shared" si="2"/>
        <v>9.6016470588235301E-4</v>
      </c>
    </row>
    <row r="44" spans="1:7">
      <c r="A44" s="31" t="s">
        <v>4</v>
      </c>
      <c r="B44" s="31" t="s">
        <v>3</v>
      </c>
      <c r="C44" s="31">
        <v>2.7000000000000001E-3</v>
      </c>
      <c r="D44" s="44">
        <f t="shared" si="0"/>
        <v>3.430588235294118E-4</v>
      </c>
      <c r="E44" s="34">
        <f t="shared" si="1"/>
        <v>1.6278141176470591E-2</v>
      </c>
      <c r="F44" s="45">
        <f t="shared" si="2"/>
        <v>1.2705882352941177E-5</v>
      </c>
      <c r="G44" s="45">
        <f t="shared" si="2"/>
        <v>6.0289411764705896E-4</v>
      </c>
    </row>
    <row r="45" spans="1:7">
      <c r="A45" s="31" t="s">
        <v>6</v>
      </c>
      <c r="B45" s="31" t="s">
        <v>5</v>
      </c>
      <c r="C45" s="31">
        <v>3.2</v>
      </c>
      <c r="D45" s="44">
        <f t="shared" si="0"/>
        <v>0.40658823529411769</v>
      </c>
      <c r="E45" s="34">
        <f t="shared" si="1"/>
        <v>19.292611764705885</v>
      </c>
      <c r="F45" s="45">
        <f t="shared" si="2"/>
        <v>1.5058823529411767E-2</v>
      </c>
      <c r="G45" s="45">
        <f t="shared" si="2"/>
        <v>0.71454117647058835</v>
      </c>
    </row>
    <row r="46" spans="1:7">
      <c r="A46" s="31" t="s">
        <v>8</v>
      </c>
      <c r="B46" s="31" t="s">
        <v>7</v>
      </c>
      <c r="C46" s="31">
        <v>2.0000000000000001E-4</v>
      </c>
      <c r="D46" s="44">
        <f t="shared" si="0"/>
        <v>2.5411764705882358E-5</v>
      </c>
      <c r="E46" s="34">
        <f t="shared" si="1"/>
        <v>1.2057882352941179E-3</v>
      </c>
      <c r="F46" s="45">
        <f t="shared" si="2"/>
        <v>9.4117647058823544E-7</v>
      </c>
      <c r="G46" s="45">
        <f t="shared" si="2"/>
        <v>4.4658823529411777E-5</v>
      </c>
    </row>
    <row r="47" spans="1:7">
      <c r="A47" s="31" t="s">
        <v>10</v>
      </c>
      <c r="B47" s="31" t="s">
        <v>9</v>
      </c>
      <c r="C47" s="31">
        <v>4.4000000000000003E-3</v>
      </c>
      <c r="D47" s="44">
        <f t="shared" si="0"/>
        <v>5.5905882352941185E-4</v>
      </c>
      <c r="E47" s="34">
        <f t="shared" si="1"/>
        <v>2.6527341176470595E-2</v>
      </c>
      <c r="F47" s="45">
        <f t="shared" si="2"/>
        <v>2.0705882352941179E-5</v>
      </c>
      <c r="G47" s="45">
        <f t="shared" si="2"/>
        <v>9.8249411764705897E-4</v>
      </c>
    </row>
    <row r="48" spans="1:7">
      <c r="A48" s="31" t="s">
        <v>16</v>
      </c>
      <c r="B48" s="31" t="s">
        <v>15</v>
      </c>
      <c r="C48" s="31">
        <v>1.2E-5</v>
      </c>
      <c r="D48" s="44">
        <f t="shared" si="0"/>
        <v>1.5247058823529414E-6</v>
      </c>
      <c r="E48" s="34">
        <f t="shared" si="1"/>
        <v>7.234729411764707E-5</v>
      </c>
      <c r="F48" s="45">
        <f t="shared" si="2"/>
        <v>5.6470588235294123E-8</v>
      </c>
      <c r="G48" s="45">
        <f t="shared" si="2"/>
        <v>2.6795294117647064E-6</v>
      </c>
    </row>
    <row r="49" spans="1:7">
      <c r="A49" s="31" t="s">
        <v>18</v>
      </c>
      <c r="B49" s="46" t="s">
        <v>17</v>
      </c>
      <c r="C49" s="31">
        <v>1.1000000000000001E-3</v>
      </c>
      <c r="D49" s="44">
        <f t="shared" si="0"/>
        <v>1.3976470588235296E-4</v>
      </c>
      <c r="E49" s="34">
        <f t="shared" si="1"/>
        <v>6.6318352941176486E-3</v>
      </c>
      <c r="F49" s="45">
        <f t="shared" si="2"/>
        <v>5.1764705882352947E-6</v>
      </c>
      <c r="G49" s="45">
        <f t="shared" si="2"/>
        <v>2.4562352941176474E-4</v>
      </c>
    </row>
    <row r="50" spans="1:7">
      <c r="A50" s="31" t="s">
        <v>20</v>
      </c>
      <c r="B50" s="31" t="s">
        <v>19</v>
      </c>
      <c r="C50" s="31">
        <v>1.4E-3</v>
      </c>
      <c r="D50" s="44">
        <f t="shared" si="0"/>
        <v>1.7788235294117648E-4</v>
      </c>
      <c r="E50" s="34">
        <f t="shared" si="1"/>
        <v>8.4405176470588247E-3</v>
      </c>
      <c r="F50" s="45">
        <f t="shared" si="2"/>
        <v>6.5882352941176472E-6</v>
      </c>
      <c r="G50" s="45">
        <f t="shared" si="2"/>
        <v>3.126117647058824E-4</v>
      </c>
    </row>
    <row r="51" spans="1:7">
      <c r="A51" s="31" t="s">
        <v>22</v>
      </c>
      <c r="B51" s="31" t="s">
        <v>21</v>
      </c>
      <c r="C51" s="31">
        <v>8.3999999999999995E-5</v>
      </c>
      <c r="D51" s="44">
        <f t="shared" si="0"/>
        <v>1.067294117647059E-5</v>
      </c>
      <c r="E51" s="34">
        <f t="shared" si="1"/>
        <v>5.0643105882352949E-4</v>
      </c>
      <c r="F51" s="45">
        <f t="shared" si="2"/>
        <v>3.9529411764705889E-7</v>
      </c>
      <c r="G51" s="45">
        <f t="shared" si="2"/>
        <v>1.8756705882352944E-5</v>
      </c>
    </row>
    <row r="52" spans="1:7">
      <c r="A52" s="31" t="s">
        <v>24</v>
      </c>
      <c r="B52" s="31" t="s">
        <v>23</v>
      </c>
      <c r="C52" s="31">
        <v>8.4999999999999995E-4</v>
      </c>
      <c r="D52" s="44">
        <f t="shared" si="0"/>
        <v>1.0800000000000001E-4</v>
      </c>
      <c r="E52" s="34">
        <f t="shared" si="1"/>
        <v>5.1246E-3</v>
      </c>
      <c r="F52" s="45">
        <f t="shared" si="2"/>
        <v>4.0000000000000007E-6</v>
      </c>
      <c r="G52" s="45">
        <f t="shared" si="2"/>
        <v>1.8980000000000001E-4</v>
      </c>
    </row>
    <row r="53" spans="1:7">
      <c r="A53" s="31" t="s">
        <v>26</v>
      </c>
      <c r="B53" s="31" t="s">
        <v>25</v>
      </c>
      <c r="C53" s="31">
        <v>9.4999999999999998E-3</v>
      </c>
      <c r="D53" s="44">
        <f t="shared" si="0"/>
        <v>1.207058823529412E-3</v>
      </c>
      <c r="E53" s="34">
        <f t="shared" si="1"/>
        <v>5.7274941176470591E-2</v>
      </c>
      <c r="F53" s="45">
        <f t="shared" si="2"/>
        <v>4.4705882352941186E-5</v>
      </c>
      <c r="G53" s="45">
        <f t="shared" si="2"/>
        <v>2.1212941176470589E-3</v>
      </c>
    </row>
    <row r="54" spans="1:7">
      <c r="A54" s="31" t="s">
        <v>31</v>
      </c>
      <c r="B54" s="31" t="s">
        <v>30</v>
      </c>
      <c r="C54" s="31">
        <v>6.3E-3</v>
      </c>
      <c r="D54" s="44">
        <f t="shared" si="0"/>
        <v>8.004705882352942E-4</v>
      </c>
      <c r="E54" s="34">
        <f t="shared" si="1"/>
        <v>3.7982329411764708E-2</v>
      </c>
      <c r="F54" s="45">
        <f t="shared" si="2"/>
        <v>2.9647058823529414E-5</v>
      </c>
      <c r="G54" s="45">
        <f t="shared" si="2"/>
        <v>1.4067529411764706E-3</v>
      </c>
    </row>
    <row r="55" spans="1:7">
      <c r="A55" s="31" t="s">
        <v>34</v>
      </c>
      <c r="B55" s="31" t="s">
        <v>33</v>
      </c>
      <c r="C55" s="31">
        <v>5.0000000000000001E-4</v>
      </c>
      <c r="D55" s="44">
        <f t="shared" si="0"/>
        <v>6.352941176470589E-5</v>
      </c>
      <c r="E55" s="34">
        <f t="shared" si="1"/>
        <v>3.0144705882352947E-3</v>
      </c>
      <c r="F55" s="45">
        <f t="shared" si="2"/>
        <v>2.3529411764705885E-6</v>
      </c>
      <c r="G55" s="45">
        <f t="shared" si="2"/>
        <v>1.1164705882352943E-4</v>
      </c>
    </row>
    <row r="56" spans="1:7">
      <c r="A56" s="31" t="s">
        <v>36</v>
      </c>
      <c r="B56" s="31" t="s">
        <v>35</v>
      </c>
      <c r="C56" s="31">
        <v>3.8000000000000002E-4</v>
      </c>
      <c r="D56" s="44">
        <f t="shared" si="0"/>
        <v>4.8282352941176477E-5</v>
      </c>
      <c r="E56" s="34">
        <f t="shared" si="1"/>
        <v>2.290997647058824E-3</v>
      </c>
      <c r="F56" s="45">
        <f t="shared" si="2"/>
        <v>1.7882352941176474E-6</v>
      </c>
      <c r="G56" s="45">
        <f t="shared" si="2"/>
        <v>8.4851764705882375E-5</v>
      </c>
    </row>
    <row r="57" spans="1:7">
      <c r="A57" s="31" t="s">
        <v>38</v>
      </c>
      <c r="B57" s="31" t="s">
        <v>37</v>
      </c>
      <c r="C57" s="31">
        <v>2.5999999999999998E-4</v>
      </c>
      <c r="D57" s="44">
        <f t="shared" si="0"/>
        <v>3.3035294117647058E-5</v>
      </c>
      <c r="E57" s="34">
        <f t="shared" si="1"/>
        <v>1.567524705882353E-3</v>
      </c>
      <c r="F57" s="45">
        <f t="shared" si="2"/>
        <v>1.2235294117647059E-6</v>
      </c>
      <c r="G57" s="45">
        <f t="shared" si="2"/>
        <v>5.8056470588235298E-5</v>
      </c>
    </row>
    <row r="58" spans="1:7">
      <c r="A58" s="31" t="s">
        <v>40</v>
      </c>
      <c r="B58" s="31" t="s">
        <v>39</v>
      </c>
      <c r="C58" s="31">
        <v>1.65E-3</v>
      </c>
      <c r="D58" s="44">
        <f t="shared" si="0"/>
        <v>2.0964705882352944E-4</v>
      </c>
      <c r="E58" s="34">
        <f t="shared" si="1"/>
        <v>9.9477529411764725E-3</v>
      </c>
      <c r="F58" s="45">
        <f t="shared" si="2"/>
        <v>7.7647058823529429E-6</v>
      </c>
      <c r="G58" s="45">
        <f t="shared" si="2"/>
        <v>3.6843529411764714E-4</v>
      </c>
    </row>
    <row r="59" spans="1:7">
      <c r="A59" s="31" t="s">
        <v>44</v>
      </c>
      <c r="B59" s="31">
        <v>365</v>
      </c>
      <c r="C59" s="31">
        <v>2.0999999999999999E-3</v>
      </c>
      <c r="D59" s="44">
        <f t="shared" si="0"/>
        <v>2.6682352941176472E-4</v>
      </c>
      <c r="E59" s="34">
        <f t="shared" si="1"/>
        <v>1.2660776470588235E-2</v>
      </c>
      <c r="F59" s="45">
        <f t="shared" si="2"/>
        <v>9.8823529411764707E-6</v>
      </c>
      <c r="G59" s="45">
        <f t="shared" si="2"/>
        <v>4.6891764705882352E-4</v>
      </c>
    </row>
    <row r="60" spans="1:7">
      <c r="A60" s="31" t="s">
        <v>51</v>
      </c>
      <c r="B60" s="31" t="s">
        <v>50</v>
      </c>
      <c r="C60" s="31">
        <v>2.4000000000000001E-5</v>
      </c>
      <c r="D60" s="44">
        <f t="shared" si="0"/>
        <v>3.0494117647058828E-6</v>
      </c>
      <c r="E60" s="34">
        <f t="shared" si="1"/>
        <v>1.4469458823529414E-4</v>
      </c>
      <c r="F60" s="45">
        <f t="shared" si="2"/>
        <v>1.1294117647058825E-7</v>
      </c>
      <c r="G60" s="45">
        <f t="shared" si="2"/>
        <v>5.3590588235294128E-6</v>
      </c>
    </row>
    <row r="61" spans="1:7">
      <c r="A61" s="31" t="s">
        <v>53</v>
      </c>
      <c r="B61" s="31" t="s">
        <v>52</v>
      </c>
      <c r="C61" s="31">
        <v>3.6600000000000001E-2</v>
      </c>
      <c r="D61" s="44">
        <f t="shared" si="0"/>
        <v>4.6503529411764709E-3</v>
      </c>
      <c r="E61" s="34">
        <f t="shared" si="1"/>
        <v>0.22065924705882356</v>
      </c>
      <c r="F61" s="45">
        <f t="shared" si="2"/>
        <v>1.7223529411764706E-4</v>
      </c>
      <c r="G61" s="45">
        <f t="shared" si="2"/>
        <v>8.1725647058823545E-3</v>
      </c>
    </row>
    <row r="62" spans="1:7">
      <c r="A62" s="31" t="s">
        <v>55</v>
      </c>
      <c r="B62" s="31" t="s">
        <v>54</v>
      </c>
      <c r="C62" s="31">
        <v>2.3E-3</v>
      </c>
      <c r="D62" s="44">
        <f t="shared" si="0"/>
        <v>2.9223529411764708E-4</v>
      </c>
      <c r="E62" s="34">
        <f t="shared" si="1"/>
        <v>1.3866564705882354E-2</v>
      </c>
      <c r="F62" s="45">
        <f t="shared" si="2"/>
        <v>1.0823529411764706E-5</v>
      </c>
      <c r="G62" s="45">
        <f t="shared" si="2"/>
        <v>5.1357647058823533E-4</v>
      </c>
    </row>
    <row r="63" spans="1:7">
      <c r="A63" s="31" t="s">
        <v>57</v>
      </c>
      <c r="B63" s="31" t="s">
        <v>56</v>
      </c>
      <c r="C63" s="31">
        <v>2.7199999999999998E-2</v>
      </c>
      <c r="D63" s="44">
        <f t="shared" si="0"/>
        <v>3.4560000000000003E-3</v>
      </c>
      <c r="E63" s="34">
        <f t="shared" si="1"/>
        <v>0.1639872</v>
      </c>
      <c r="F63" s="45">
        <f t="shared" si="2"/>
        <v>1.2800000000000002E-4</v>
      </c>
      <c r="G63" s="45">
        <f t="shared" si="2"/>
        <v>6.0736000000000002E-3</v>
      </c>
    </row>
    <row r="64" spans="1:7">
      <c r="A64" s="31" t="s">
        <v>59</v>
      </c>
      <c r="B64" s="31" t="s">
        <v>58</v>
      </c>
      <c r="C64" s="31">
        <v>2.9000000000000001E-2</v>
      </c>
      <c r="D64" s="44">
        <f t="shared" si="0"/>
        <v>3.6847058823529419E-3</v>
      </c>
      <c r="E64" s="34">
        <f t="shared" si="1"/>
        <v>0.17483929411764709</v>
      </c>
      <c r="F64" s="45">
        <f t="shared" si="2"/>
        <v>1.3647058823529413E-4</v>
      </c>
      <c r="G64" s="45">
        <f t="shared" si="2"/>
        <v>6.4755294117647072E-3</v>
      </c>
    </row>
    <row r="65" spans="1:7">
      <c r="A65" s="31" t="s">
        <v>89</v>
      </c>
      <c r="B65" s="31"/>
      <c r="C65" s="31"/>
      <c r="D65" s="47">
        <f>SUM(D38:D64)</f>
        <v>0.42644259952941177</v>
      </c>
      <c r="E65" s="47">
        <f>SUM(E38:E64)</f>
        <v>20.234701347670594</v>
      </c>
      <c r="F65" s="47">
        <f>SUM(F38:F64)</f>
        <v>1.5794170352941183E-2</v>
      </c>
      <c r="G65" s="47">
        <f>SUM(G38:G64)</f>
        <v>0.74943338324705877</v>
      </c>
    </row>
    <row r="139" spans="1:8">
      <c r="A139" s="230" t="s">
        <v>90</v>
      </c>
      <c r="B139" s="231"/>
      <c r="C139" s="231"/>
      <c r="D139" s="231"/>
      <c r="E139" s="232"/>
    </row>
    <row r="140" spans="1:8">
      <c r="A140" s="48" t="s">
        <v>91</v>
      </c>
      <c r="B140" s="49">
        <v>1.04E-5</v>
      </c>
      <c r="C140" s="63" t="s">
        <v>92</v>
      </c>
      <c r="D140" s="51" t="s">
        <v>93</v>
      </c>
      <c r="E140" s="52" t="e">
        <f>B140*#REF!</f>
        <v>#REF!</v>
      </c>
      <c r="F140" t="s">
        <v>94</v>
      </c>
    </row>
    <row r="141" spans="1:8">
      <c r="A141" s="48" t="s">
        <v>95</v>
      </c>
      <c r="B141" s="49">
        <v>1.0206E-2</v>
      </c>
      <c r="C141" s="63" t="s">
        <v>92</v>
      </c>
      <c r="D141" s="51" t="s">
        <v>93</v>
      </c>
      <c r="E141" s="52" t="e">
        <f>B141*#REF!</f>
        <v>#REF!</v>
      </c>
      <c r="F141" t="s">
        <v>94</v>
      </c>
    </row>
    <row r="142" spans="1:8">
      <c r="A142" s="48" t="s">
        <v>96</v>
      </c>
      <c r="B142" s="49">
        <v>2.4700000000000001E-5</v>
      </c>
      <c r="C142" s="63" t="s">
        <v>92</v>
      </c>
      <c r="D142" s="51" t="s">
        <v>93</v>
      </c>
      <c r="E142" s="53" t="e">
        <f>B142*#REF!</f>
        <v>#REF!</v>
      </c>
      <c r="F142" t="s">
        <v>94</v>
      </c>
      <c r="G142" s="24" t="e">
        <f>SUM(E140:E142)</f>
        <v>#REF!</v>
      </c>
      <c r="H142" t="s">
        <v>94</v>
      </c>
    </row>
    <row r="143" spans="1:8">
      <c r="A143" s="230" t="s">
        <v>97</v>
      </c>
      <c r="B143" s="231"/>
      <c r="C143" s="231"/>
      <c r="D143" s="231"/>
      <c r="E143" s="232"/>
      <c r="G143" t="e">
        <f>G142*1.10231</f>
        <v>#REF!</v>
      </c>
      <c r="H143" t="s">
        <v>98</v>
      </c>
    </row>
    <row r="144" spans="1:8">
      <c r="A144" s="48" t="s">
        <v>12</v>
      </c>
      <c r="B144" s="49">
        <v>7.76E-4</v>
      </c>
      <c r="C144" s="63" t="s">
        <v>99</v>
      </c>
      <c r="D144" s="51" t="s">
        <v>100</v>
      </c>
      <c r="E144" s="54" t="e">
        <f>B144*#REF!*#REF!/1000000/2000</f>
        <v>#REF!</v>
      </c>
    </row>
    <row r="145" spans="1:8">
      <c r="A145" s="48" t="s">
        <v>53</v>
      </c>
      <c r="B145" s="49">
        <v>2.81E-4</v>
      </c>
      <c r="C145" s="63" t="s">
        <v>99</v>
      </c>
      <c r="D145" s="51" t="s">
        <v>100</v>
      </c>
      <c r="E145" s="55" t="e">
        <f>B145*#REF!*#REF!/1000000/2000</f>
        <v>#REF!</v>
      </c>
      <c r="G145">
        <v>2490</v>
      </c>
    </row>
    <row r="146" spans="1:8">
      <c r="A146" s="48" t="s">
        <v>101</v>
      </c>
      <c r="B146" s="49">
        <v>1.93E-4</v>
      </c>
      <c r="C146" s="63" t="s">
        <v>99</v>
      </c>
      <c r="D146" s="51" t="s">
        <v>100</v>
      </c>
      <c r="E146" s="55" t="e">
        <f>B146*#REF!*#REF!/1000000/2000</f>
        <v>#REF!</v>
      </c>
      <c r="G146">
        <f>G145*1.10231</f>
        <v>2744.7518999999998</v>
      </c>
      <c r="H146" t="s">
        <v>98</v>
      </c>
    </row>
    <row r="147" spans="1:8">
      <c r="A147" s="48" t="s">
        <v>29</v>
      </c>
      <c r="B147" s="49">
        <v>7.8899999999999993E-5</v>
      </c>
      <c r="C147" s="63" t="s">
        <v>99</v>
      </c>
      <c r="D147" s="51" t="s">
        <v>100</v>
      </c>
      <c r="E147" s="55" t="e">
        <f>B147*#REF!*#REF!/1000000/2000</f>
        <v>#REF!</v>
      </c>
    </row>
    <row r="148" spans="1:8">
      <c r="A148" s="48" t="s">
        <v>2</v>
      </c>
      <c r="B148" s="49">
        <v>2.5199999999999999E-5</v>
      </c>
      <c r="C148" s="63" t="s">
        <v>99</v>
      </c>
      <c r="D148" s="51" t="s">
        <v>100</v>
      </c>
      <c r="E148" s="56" t="e">
        <f>B148*#REF!*#REF!/1000000/2000</f>
        <v>#REF!</v>
      </c>
    </row>
    <row r="149" spans="1:8">
      <c r="A149" s="48" t="s">
        <v>4</v>
      </c>
      <c r="B149" s="49">
        <v>7.8800000000000008E-6</v>
      </c>
      <c r="C149" s="63" t="s">
        <v>99</v>
      </c>
      <c r="D149" s="51" t="s">
        <v>100</v>
      </c>
      <c r="E149" s="56" t="e">
        <f>B149*#REF!*#REF!/1000000/2000</f>
        <v>#REF!</v>
      </c>
    </row>
    <row r="150" spans="1:8">
      <c r="A150" s="48" t="s">
        <v>102</v>
      </c>
      <c r="B150" s="49">
        <v>1.2999999999999999E-4</v>
      </c>
      <c r="C150" s="63" t="s">
        <v>99</v>
      </c>
      <c r="D150" s="51" t="s">
        <v>100</v>
      </c>
      <c r="E150" s="55" t="e">
        <f>B150*#REF!*#REF!/1000000/2000</f>
        <v>#REF!</v>
      </c>
    </row>
    <row r="151" spans="1:8">
      <c r="A151" s="48" t="s">
        <v>103</v>
      </c>
      <c r="B151" s="49">
        <v>2.12E-4</v>
      </c>
      <c r="C151" s="63" t="s">
        <v>99</v>
      </c>
      <c r="D151" s="51" t="s">
        <v>100</v>
      </c>
      <c r="E151" s="55" t="e">
        <f>B151*#REF!*#REF!/1000000/2000</f>
        <v>#REF!</v>
      </c>
    </row>
    <row r="152" spans="1:8">
      <c r="A152" s="48" t="s">
        <v>104</v>
      </c>
      <c r="B152" s="49"/>
      <c r="C152" s="63"/>
      <c r="D152" s="48"/>
      <c r="E152" s="54" t="e">
        <f>SUM(E144:E151)</f>
        <v>#REF!</v>
      </c>
    </row>
    <row r="153" spans="1:8">
      <c r="B153" s="57"/>
      <c r="C153" s="3"/>
      <c r="E153" s="24"/>
    </row>
    <row r="154" spans="1:8">
      <c r="A154" t="s">
        <v>105</v>
      </c>
      <c r="B154" s="57"/>
      <c r="C154" s="3"/>
      <c r="E154" s="24"/>
    </row>
    <row r="155" spans="1:8">
      <c r="A155" t="s">
        <v>106</v>
      </c>
      <c r="B155" s="57"/>
      <c r="C155" s="3"/>
      <c r="E155" s="24"/>
    </row>
    <row r="156" spans="1:8">
      <c r="A156" t="s">
        <v>107</v>
      </c>
      <c r="B156" s="57"/>
      <c r="C156" s="3"/>
      <c r="E156" s="24"/>
    </row>
    <row r="157" spans="1:8">
      <c r="A157" t="s">
        <v>108</v>
      </c>
      <c r="B157" s="57"/>
      <c r="C157" s="3"/>
      <c r="E157" s="24"/>
    </row>
    <row r="158" spans="1:8">
      <c r="A158" t="s">
        <v>109</v>
      </c>
      <c r="B158" s="57"/>
      <c r="C158" s="3"/>
      <c r="E158" s="24"/>
    </row>
    <row r="160" spans="1:8">
      <c r="A160" s="58" t="s">
        <v>110</v>
      </c>
    </row>
    <row r="162" spans="1:7">
      <c r="A162" s="63" t="s">
        <v>77</v>
      </c>
      <c r="B162" s="63" t="s">
        <v>78</v>
      </c>
      <c r="C162" s="63" t="s">
        <v>79</v>
      </c>
      <c r="D162" s="63" t="s">
        <v>80</v>
      </c>
      <c r="E162" s="63" t="s">
        <v>81</v>
      </c>
      <c r="F162" s="59" t="s">
        <v>111</v>
      </c>
      <c r="G162" s="63" t="s">
        <v>112</v>
      </c>
    </row>
    <row r="163" spans="1:7">
      <c r="A163" s="228" t="s">
        <v>61</v>
      </c>
      <c r="B163" s="233"/>
      <c r="C163" s="233"/>
      <c r="D163" s="233"/>
      <c r="E163" s="233"/>
      <c r="F163" s="233"/>
      <c r="G163" s="229"/>
    </row>
    <row r="164" spans="1:7">
      <c r="A164" s="60" t="e">
        <f>#REF!</f>
        <v>#REF!</v>
      </c>
      <c r="B164" s="60" t="e">
        <f>#REF!</f>
        <v>#REF!</v>
      </c>
      <c r="C164" s="60" t="e">
        <f>#REF!</f>
        <v>#REF!</v>
      </c>
      <c r="D164" s="61" t="e">
        <f>#REF!</f>
        <v>#REF!</v>
      </c>
      <c r="E164" s="61" t="e">
        <f>#REF!</f>
        <v>#REF!</v>
      </c>
      <c r="F164" s="60" t="e">
        <f>SUM(E140:E142)</f>
        <v>#REF!</v>
      </c>
      <c r="G164" s="54" t="e">
        <f>E152</f>
        <v>#REF!</v>
      </c>
    </row>
    <row r="168" spans="1:7" ht="23.5">
      <c r="A168" s="62"/>
      <c r="C168" s="12"/>
      <c r="D168" s="12"/>
      <c r="E168" s="12"/>
      <c r="F168" s="13"/>
    </row>
    <row r="169" spans="1:7" ht="23.5">
      <c r="A169" s="62"/>
      <c r="C169" s="12"/>
      <c r="D169" s="12"/>
      <c r="E169" s="12"/>
      <c r="F169" s="13"/>
    </row>
    <row r="170" spans="1:7" ht="23.5">
      <c r="A170" s="62"/>
      <c r="C170" s="12"/>
      <c r="D170" s="12"/>
      <c r="E170" s="12"/>
      <c r="F170" s="13"/>
    </row>
    <row r="171" spans="1:7" ht="23.5">
      <c r="A171" s="62"/>
      <c r="C171" s="12"/>
      <c r="D171" s="12"/>
      <c r="E171" s="12"/>
      <c r="F171" s="13"/>
    </row>
    <row r="172" spans="1:7" ht="23.5">
      <c r="A172" s="62"/>
      <c r="C172" s="12"/>
      <c r="D172" s="12"/>
      <c r="E172" s="12"/>
      <c r="F172" s="13"/>
    </row>
    <row r="173" spans="1:7" ht="23.5">
      <c r="A173" s="62"/>
      <c r="C173" s="12"/>
      <c r="D173" s="12"/>
      <c r="E173" s="12"/>
      <c r="F173" s="13"/>
    </row>
    <row r="174" spans="1:7" ht="23.5">
      <c r="A174" s="62"/>
      <c r="C174" s="12"/>
      <c r="D174" s="12"/>
      <c r="E174" s="12"/>
      <c r="F174" s="13"/>
    </row>
    <row r="175" spans="1:7" ht="23.5">
      <c r="A175" s="62"/>
      <c r="B175" s="11"/>
      <c r="C175" s="12"/>
      <c r="D175" s="12"/>
      <c r="E175" s="12"/>
      <c r="F175" s="13"/>
    </row>
    <row r="177" spans="1:6">
      <c r="A177" s="58"/>
    </row>
    <row r="178" spans="1:6">
      <c r="A178" s="58"/>
    </row>
    <row r="179" spans="1:6">
      <c r="A179" t="s">
        <v>113</v>
      </c>
      <c r="B179" s="22">
        <v>624500</v>
      </c>
      <c r="C179" t="s">
        <v>114</v>
      </c>
    </row>
    <row r="180" spans="1:6">
      <c r="A180" t="s">
        <v>115</v>
      </c>
      <c r="B180" s="22">
        <v>138000</v>
      </c>
      <c r="C180" t="s">
        <v>116</v>
      </c>
    </row>
    <row r="182" spans="1:6" ht="20" customHeight="1">
      <c r="A182" s="234" t="s">
        <v>75</v>
      </c>
      <c r="B182" s="235" t="s">
        <v>117</v>
      </c>
      <c r="C182" s="235"/>
      <c r="D182" s="235"/>
      <c r="E182" s="236" t="s">
        <v>118</v>
      </c>
    </row>
    <row r="183" spans="1:6" ht="31" customHeight="1">
      <c r="A183" s="234"/>
      <c r="B183" s="63" t="s">
        <v>119</v>
      </c>
      <c r="C183" s="63" t="s">
        <v>120</v>
      </c>
      <c r="D183" s="63" t="s">
        <v>0</v>
      </c>
      <c r="E183" s="237"/>
    </row>
    <row r="184" spans="1:6" ht="17" customHeight="1">
      <c r="A184" s="238" t="s">
        <v>121</v>
      </c>
      <c r="B184" s="239"/>
      <c r="C184" s="239"/>
      <c r="D184" s="239"/>
      <c r="E184" s="240"/>
    </row>
    <row r="185" spans="1:6">
      <c r="A185" s="48" t="s">
        <v>77</v>
      </c>
      <c r="B185" s="49" t="e">
        <f>#REF!</f>
        <v>#REF!</v>
      </c>
      <c r="C185" s="63" t="s">
        <v>122</v>
      </c>
      <c r="D185" s="51" t="s">
        <v>123</v>
      </c>
      <c r="E185" s="52" t="e">
        <f>B185*$B$179/2000</f>
        <v>#REF!</v>
      </c>
    </row>
    <row r="186" spans="1:6">
      <c r="A186" s="48" t="s">
        <v>78</v>
      </c>
      <c r="B186" s="49" t="e">
        <f>#REF!</f>
        <v>#REF!</v>
      </c>
      <c r="C186" s="63" t="s">
        <v>122</v>
      </c>
      <c r="D186" s="51" t="s">
        <v>123</v>
      </c>
      <c r="E186" s="52" t="e">
        <f>B186*$B$179/2000</f>
        <v>#REF!</v>
      </c>
    </row>
    <row r="187" spans="1:6">
      <c r="A187" s="48" t="s">
        <v>79</v>
      </c>
      <c r="B187" s="49" t="e">
        <f>#REF!</f>
        <v>#REF!</v>
      </c>
      <c r="C187" s="63" t="s">
        <v>122</v>
      </c>
      <c r="D187" s="51" t="s">
        <v>123</v>
      </c>
      <c r="E187" s="53" t="e">
        <f>B187*$B$179/2000</f>
        <v>#REF!</v>
      </c>
    </row>
    <row r="188" spans="1:6">
      <c r="A188" s="48" t="s">
        <v>80</v>
      </c>
      <c r="B188" s="49" t="e">
        <f>#REF!</f>
        <v>#REF!</v>
      </c>
      <c r="C188" s="63" t="s">
        <v>122</v>
      </c>
      <c r="D188" s="51" t="s">
        <v>123</v>
      </c>
      <c r="E188" s="53" t="e">
        <f>B188*$B$179/2000</f>
        <v>#REF!</v>
      </c>
    </row>
    <row r="189" spans="1:6">
      <c r="A189" s="48" t="s">
        <v>81</v>
      </c>
      <c r="B189" s="49" t="e">
        <f>#REF!</f>
        <v>#REF!</v>
      </c>
      <c r="C189" s="63" t="s">
        <v>122</v>
      </c>
      <c r="D189" s="51" t="s">
        <v>123</v>
      </c>
      <c r="E189" s="53" t="e">
        <f>B189*$B$179/2000</f>
        <v>#REF!</v>
      </c>
    </row>
    <row r="190" spans="1:6">
      <c r="A190" s="48" t="s">
        <v>124</v>
      </c>
      <c r="B190" s="49">
        <v>8.3000000000000001E-3</v>
      </c>
      <c r="C190" s="63" t="s">
        <v>125</v>
      </c>
      <c r="D190" s="51" t="s">
        <v>126</v>
      </c>
      <c r="E190" s="55">
        <f>B190*B179/1000/2000</f>
        <v>2.5916750000000003E-3</v>
      </c>
    </row>
    <row r="191" spans="1:6">
      <c r="A191" s="230" t="s">
        <v>90</v>
      </c>
      <c r="B191" s="231"/>
      <c r="C191" s="231"/>
      <c r="D191" s="231"/>
      <c r="E191" s="232"/>
    </row>
    <row r="192" spans="1:6">
      <c r="A192" s="48" t="s">
        <v>91</v>
      </c>
      <c r="B192" s="49">
        <v>1.04E-5</v>
      </c>
      <c r="C192" s="63" t="s">
        <v>92</v>
      </c>
      <c r="D192" s="51" t="s">
        <v>93</v>
      </c>
      <c r="E192" s="52">
        <f>B192*$B$179</f>
        <v>6.4948000000000006</v>
      </c>
      <c r="F192" t="s">
        <v>94</v>
      </c>
    </row>
    <row r="193" spans="1:6">
      <c r="A193" s="48" t="s">
        <v>95</v>
      </c>
      <c r="B193" s="49">
        <v>1.0206E-2</v>
      </c>
      <c r="C193" s="63" t="s">
        <v>92</v>
      </c>
      <c r="D193" s="51" t="s">
        <v>93</v>
      </c>
      <c r="E193" s="65">
        <f>B193*$B$179</f>
        <v>6373.6469999999999</v>
      </c>
      <c r="F193" t="s">
        <v>94</v>
      </c>
    </row>
    <row r="194" spans="1:6">
      <c r="A194" s="48" t="s">
        <v>96</v>
      </c>
      <c r="B194" s="49">
        <v>2.4700000000000001E-5</v>
      </c>
      <c r="C194" s="63" t="s">
        <v>92</v>
      </c>
      <c r="D194" s="51" t="s">
        <v>93</v>
      </c>
      <c r="E194" s="52">
        <f>B194*$B$179</f>
        <v>15.42515</v>
      </c>
      <c r="F194" t="s">
        <v>94</v>
      </c>
    </row>
    <row r="195" spans="1:6">
      <c r="A195" s="230" t="s">
        <v>97</v>
      </c>
      <c r="B195" s="231"/>
      <c r="C195" s="231"/>
      <c r="D195" s="231"/>
      <c r="E195" s="232"/>
    </row>
    <row r="196" spans="1:6">
      <c r="A196" s="48" t="s">
        <v>12</v>
      </c>
      <c r="B196" s="49">
        <v>7.76E-4</v>
      </c>
      <c r="C196" s="63" t="s">
        <v>99</v>
      </c>
      <c r="D196" s="51" t="s">
        <v>100</v>
      </c>
      <c r="E196" s="54">
        <f t="shared" ref="E196:E203" si="3">B196*$B$179*$B$180/1000000/2000</f>
        <v>3.3438228E-2</v>
      </c>
    </row>
    <row r="197" spans="1:6">
      <c r="A197" s="48" t="s">
        <v>53</v>
      </c>
      <c r="B197" s="49">
        <v>2.81E-4</v>
      </c>
      <c r="C197" s="63" t="s">
        <v>99</v>
      </c>
      <c r="D197" s="51" t="s">
        <v>100</v>
      </c>
      <c r="E197" s="55">
        <f t="shared" si="3"/>
        <v>1.2108430500000001E-2</v>
      </c>
    </row>
    <row r="198" spans="1:6">
      <c r="A198" s="48" t="s">
        <v>101</v>
      </c>
      <c r="B198" s="49">
        <v>1.93E-4</v>
      </c>
      <c r="C198" s="63" t="s">
        <v>99</v>
      </c>
      <c r="D198" s="51" t="s">
        <v>100</v>
      </c>
      <c r="E198" s="55">
        <f t="shared" si="3"/>
        <v>8.3164665000000013E-3</v>
      </c>
    </row>
    <row r="199" spans="1:6">
      <c r="A199" s="48" t="s">
        <v>29</v>
      </c>
      <c r="B199" s="49">
        <v>7.8899999999999993E-5</v>
      </c>
      <c r="C199" s="63" t="s">
        <v>99</v>
      </c>
      <c r="D199" s="51" t="s">
        <v>100</v>
      </c>
      <c r="E199" s="55">
        <f t="shared" si="3"/>
        <v>3.3998404499999998E-3</v>
      </c>
    </row>
    <row r="200" spans="1:6">
      <c r="A200" s="48" t="s">
        <v>2</v>
      </c>
      <c r="B200" s="49">
        <v>2.5199999999999999E-5</v>
      </c>
      <c r="C200" s="63" t="s">
        <v>99</v>
      </c>
      <c r="D200" s="51" t="s">
        <v>100</v>
      </c>
      <c r="E200" s="56">
        <f t="shared" si="3"/>
        <v>1.0858805999999998E-3</v>
      </c>
    </row>
    <row r="201" spans="1:6">
      <c r="A201" s="48" t="s">
        <v>4</v>
      </c>
      <c r="B201" s="49">
        <v>7.8800000000000008E-6</v>
      </c>
      <c r="C201" s="63" t="s">
        <v>99</v>
      </c>
      <c r="D201" s="51" t="s">
        <v>100</v>
      </c>
      <c r="E201" s="56">
        <f t="shared" si="3"/>
        <v>3.3955314000000007E-4</v>
      </c>
    </row>
    <row r="202" spans="1:6">
      <c r="A202" s="48" t="s">
        <v>102</v>
      </c>
      <c r="B202" s="49">
        <v>1.2999999999999999E-4</v>
      </c>
      <c r="C202" s="63" t="s">
        <v>99</v>
      </c>
      <c r="D202" s="51" t="s">
        <v>100</v>
      </c>
      <c r="E202" s="55">
        <f t="shared" si="3"/>
        <v>5.6017649999999999E-3</v>
      </c>
    </row>
    <row r="203" spans="1:6">
      <c r="A203" s="48" t="s">
        <v>103</v>
      </c>
      <c r="B203" s="49">
        <v>2.12E-4</v>
      </c>
      <c r="C203" s="63" t="s">
        <v>99</v>
      </c>
      <c r="D203" s="51" t="s">
        <v>100</v>
      </c>
      <c r="E203" s="55">
        <f t="shared" si="3"/>
        <v>9.135186E-3</v>
      </c>
    </row>
    <row r="204" spans="1:6">
      <c r="A204" s="48" t="s">
        <v>104</v>
      </c>
      <c r="B204" s="49"/>
      <c r="C204" s="63"/>
      <c r="D204" s="48"/>
      <c r="E204" s="54">
        <f>SUM(E196:E203)</f>
        <v>7.3425350190000002E-2</v>
      </c>
    </row>
    <row r="205" spans="1:6">
      <c r="B205" s="57"/>
      <c r="C205" s="3"/>
      <c r="E205" s="24"/>
    </row>
    <row r="206" spans="1:6">
      <c r="A206" t="s">
        <v>105</v>
      </c>
      <c r="B206" s="57"/>
      <c r="C206" s="3"/>
      <c r="E206" s="24"/>
    </row>
    <row r="207" spans="1:6">
      <c r="A207" t="s">
        <v>106</v>
      </c>
      <c r="B207" s="57"/>
      <c r="C207" s="3"/>
      <c r="E207" s="24"/>
    </row>
    <row r="208" spans="1:6">
      <c r="A208" t="s">
        <v>107</v>
      </c>
      <c r="B208" s="57"/>
      <c r="C208" s="3"/>
      <c r="E208" s="24"/>
    </row>
    <row r="209" spans="1:7">
      <c r="A209" t="s">
        <v>108</v>
      </c>
      <c r="B209" s="57"/>
      <c r="C209" s="3"/>
      <c r="E209" s="24"/>
    </row>
    <row r="210" spans="1:7">
      <c r="B210" s="57"/>
      <c r="C210" s="3"/>
      <c r="E210" s="24"/>
    </row>
    <row r="212" spans="1:7">
      <c r="A212" s="58" t="s">
        <v>127</v>
      </c>
    </row>
    <row r="214" spans="1:7">
      <c r="A214" s="63" t="s">
        <v>77</v>
      </c>
      <c r="B214" s="63" t="s">
        <v>78</v>
      </c>
      <c r="C214" s="63" t="s">
        <v>79</v>
      </c>
      <c r="D214" s="63" t="s">
        <v>80</v>
      </c>
      <c r="E214" s="63" t="s">
        <v>81</v>
      </c>
      <c r="F214" s="59" t="s">
        <v>111</v>
      </c>
      <c r="G214" s="63" t="s">
        <v>112</v>
      </c>
    </row>
    <row r="215" spans="1:7">
      <c r="A215" s="228" t="s">
        <v>61</v>
      </c>
      <c r="B215" s="233"/>
      <c r="C215" s="233"/>
      <c r="D215" s="233"/>
      <c r="E215" s="233"/>
      <c r="F215" s="233"/>
      <c r="G215" s="229"/>
    </row>
    <row r="216" spans="1:7">
      <c r="A216" s="60" t="e">
        <f>E185</f>
        <v>#REF!</v>
      </c>
      <c r="B216" s="60" t="e">
        <f>E186</f>
        <v>#REF!</v>
      </c>
      <c r="C216" s="60" t="e">
        <f>E187</f>
        <v>#REF!</v>
      </c>
      <c r="D216" s="61" t="e">
        <f>E188</f>
        <v>#REF!</v>
      </c>
      <c r="E216" s="61" t="e">
        <f>E189</f>
        <v>#REF!</v>
      </c>
      <c r="F216" s="60">
        <f>SUM(E192:E194)</f>
        <v>6395.5669500000004</v>
      </c>
      <c r="G216" s="54">
        <f>E204</f>
        <v>7.3425350190000002E-2</v>
      </c>
    </row>
  </sheetData>
  <mergeCells count="14">
    <mergeCell ref="A143:E143"/>
    <mergeCell ref="A21:C21"/>
    <mergeCell ref="A30:C30"/>
    <mergeCell ref="A36:E36"/>
    <mergeCell ref="F36:G36"/>
    <mergeCell ref="A139:E139"/>
    <mergeCell ref="A195:E195"/>
    <mergeCell ref="A215:G215"/>
    <mergeCell ref="A163:G163"/>
    <mergeCell ref="A182:A183"/>
    <mergeCell ref="B182:D182"/>
    <mergeCell ref="E182:E183"/>
    <mergeCell ref="A184:E184"/>
    <mergeCell ref="A191:E191"/>
  </mergeCells>
  <printOptions horizontalCentered="1"/>
  <pageMargins left="0.75" right="0.75" top="1" bottom="1" header="0.5" footer="0.5"/>
  <pageSetup scale="94" fitToHeight="2"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15</vt:i4>
      </vt:variant>
    </vt:vector>
  </HeadingPairs>
  <TitlesOfParts>
    <vt:vector size="25" baseType="lpstr">
      <vt:lpstr>Emission summary</vt:lpstr>
      <vt:lpstr>1Pretreatment Heater H2</vt:lpstr>
      <vt:lpstr>2Coating Oven Burner H3</vt:lpstr>
      <vt:lpstr>3Coating Oven (CO1)</vt:lpstr>
      <vt:lpstr>4Coating Line Baths (CL1)</vt:lpstr>
      <vt:lpstr>5Welding (W1)</vt:lpstr>
      <vt:lpstr>6Condensing Boiler (B1)</vt:lpstr>
      <vt:lpstr>7Building F Domestic HWH (B2)</vt:lpstr>
      <vt:lpstr>8Pretreatment Heater H1</vt:lpstr>
      <vt:lpstr>9IR Heaters (H4)</vt:lpstr>
      <vt:lpstr>'1Pretreatment Heater H2'!Print_Area</vt:lpstr>
      <vt:lpstr>'2Coating Oven Burner H3'!Print_Area</vt:lpstr>
      <vt:lpstr>'3Coating Oven (CO1)'!Print_Area</vt:lpstr>
      <vt:lpstr>'4Coating Line Baths (CL1)'!Print_Area</vt:lpstr>
      <vt:lpstr>'5Welding (W1)'!Print_Area</vt:lpstr>
      <vt:lpstr>'6Condensing Boiler (B1)'!Print_Area</vt:lpstr>
      <vt:lpstr>'7Building F Domestic HWH (B2)'!Print_Area</vt:lpstr>
      <vt:lpstr>'8Pretreatment Heater H1'!Print_Area</vt:lpstr>
      <vt:lpstr>'9IR Heaters (H4)'!Print_Area</vt:lpstr>
      <vt:lpstr>'Emission summary'!Print_Area</vt:lpstr>
      <vt:lpstr>'1Pretreatment Heater H2'!Print_Titles</vt:lpstr>
      <vt:lpstr>'2Coating Oven Burner H3'!Print_Titles</vt:lpstr>
      <vt:lpstr>'7Building F Domestic HWH (B2)'!Print_Titles</vt:lpstr>
      <vt:lpstr>'8Pretreatment Heater H1'!Print_Titles</vt:lpstr>
      <vt:lpstr>'9IR Heaters (H4)'!Print_Titles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Browning</dc:creator>
  <cp:lastModifiedBy>Robbye</cp:lastModifiedBy>
  <cp:lastPrinted>2022-01-19T23:14:09Z</cp:lastPrinted>
  <dcterms:created xsi:type="dcterms:W3CDTF">2021-05-25T15:41:02Z</dcterms:created>
  <dcterms:modified xsi:type="dcterms:W3CDTF">2022-01-19T23:30:51Z</dcterms:modified>
</cp:coreProperties>
</file>