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jbrowning/Bridgewater Group Dropbox/John Browning/Arcimoto/Application_WIP/Final_to_LRAPA_11_5_21/Post_Application/Response_7_MERV/"/>
    </mc:Choice>
  </mc:AlternateContent>
  <xr:revisionPtr revIDLastSave="0" documentId="13_ncr:1_{721A6E85-C1C5-D449-A542-3D2939F1AC0C}" xr6:coauthVersionLast="47" xr6:coauthVersionMax="47" xr10:uidLastSave="{00000000-0000-0000-0000-000000000000}"/>
  <bookViews>
    <workbookView xWindow="1060" yWindow="540" windowWidth="38400" windowHeight="19740" firstSheet="1" activeTab="10" xr2:uid="{14F23801-0F8A-7E45-BE37-16D4A548DD63}"/>
  </bookViews>
  <sheets>
    <sheet name="Emission summary" sheetId="20" r:id="rId1"/>
    <sheet name="6Condensing Boiler (B1)" sheetId="5" r:id="rId2"/>
    <sheet name="7Building F Domestic HWH (B2)" sheetId="6" r:id="rId3"/>
    <sheet name="8Pretreatment Heater H1" sheetId="10" r:id="rId4"/>
    <sheet name="9IR Heaters (H4)" sheetId="7" r:id="rId5"/>
    <sheet name="1Pretreatment Heater H2" sheetId="11" r:id="rId6"/>
    <sheet name="2Coating Oven Burner H3" sheetId="9" r:id="rId7"/>
    <sheet name="3Coating Oven (CO1)" sheetId="14" r:id="rId8"/>
    <sheet name="4Coating Line Baths (CL1)" sheetId="13" r:id="rId9"/>
    <sheet name="5Welding (W1)" sheetId="8" r:id="rId10"/>
    <sheet name="Laser Cutters (L1)" sheetId="22"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s>
  <definedNames>
    <definedName name="______API2">#REF!</definedName>
    <definedName name="______MW2">#REF!</definedName>
    <definedName name="______new1">'[1]x-Vasquez-Beggs Equation (VBE)'!$F$8</definedName>
    <definedName name="______new2">'[1]x-MACRO1'!$C$1</definedName>
    <definedName name="______new3">'[1]x-MACRO1'!$C$1</definedName>
    <definedName name="______SG2">#REF!</definedName>
    <definedName name="______SGi2">#REF!</definedName>
    <definedName name="______SGx2">#REF!</definedName>
    <definedName name="______THC2">#REF!</definedName>
    <definedName name="______Ti2">#REF!</definedName>
    <definedName name="______VOC2">'[1]Vasquez-Beggs Equation (VBE)'!#REF!</definedName>
    <definedName name="_____API2">#REF!</definedName>
    <definedName name="_____MW2">#REF!</definedName>
    <definedName name="_____new1">'[1]x-Vasquez-Beggs Equation (VBE)'!$F$8</definedName>
    <definedName name="_____new2">'[1]x-MACRO1'!$C$1</definedName>
    <definedName name="_____new3">'[1]x-MACRO1'!$C$1</definedName>
    <definedName name="_____SG2">#REF!</definedName>
    <definedName name="_____SGi2">#REF!</definedName>
    <definedName name="_____SGx2">#REF!</definedName>
    <definedName name="_____THC2">#REF!</definedName>
    <definedName name="_____Ti2">#REF!</definedName>
    <definedName name="_____VOC2">'[1]Vasquez-Beggs Equation (VBE)'!#REF!</definedName>
    <definedName name="____API2">#REF!</definedName>
    <definedName name="____MW2">#REF!</definedName>
    <definedName name="____new1">'[1]x-Vasquez-Beggs Equation (VBE)'!$F$8</definedName>
    <definedName name="____new2">'[1]x-MACRO1'!$C$1</definedName>
    <definedName name="____new3">'[1]x-MACRO1'!$C$1</definedName>
    <definedName name="____SG2">#REF!</definedName>
    <definedName name="____SGi2">#REF!</definedName>
    <definedName name="____SGx2">#REF!</definedName>
    <definedName name="____THC2">#REF!</definedName>
    <definedName name="____Ti2">#REF!</definedName>
    <definedName name="____VOC2">'[1]Vasquez-Beggs Equation (VBE)'!#REF!</definedName>
    <definedName name="___API2">#REF!</definedName>
    <definedName name="___MW2">#REF!</definedName>
    <definedName name="___new1">'[1]x-Vasquez-Beggs Equation (VBE)'!$F$8</definedName>
    <definedName name="___new2">'[1]x-MACRO1'!$C$1</definedName>
    <definedName name="___new3">'[1]x-MACRO1'!$C$1</definedName>
    <definedName name="___SG2">#REF!</definedName>
    <definedName name="___SGi2">#REF!</definedName>
    <definedName name="___SGx2">#REF!</definedName>
    <definedName name="___THC2">#REF!</definedName>
    <definedName name="___Ti2">#REF!</definedName>
    <definedName name="___VOC2">'[1]Vasquez-Beggs Equation (VBE)'!#REF!</definedName>
    <definedName name="__API2">#REF!</definedName>
    <definedName name="__MW2">#REF!</definedName>
    <definedName name="__new1">'[1]x-Vasquez-Beggs Equation (VBE)'!$F$8</definedName>
    <definedName name="__new2">'[1]x-MACRO1'!$C$1</definedName>
    <definedName name="__new3">'[1]x-MACRO1'!$C$1</definedName>
    <definedName name="__SG2">#REF!</definedName>
    <definedName name="__SGi2">#REF!</definedName>
    <definedName name="__SGx2">#REF!</definedName>
    <definedName name="__THC2">#REF!</definedName>
    <definedName name="__Ti2">#REF!</definedName>
    <definedName name="__VOC2">'[1]Vasquez-Beggs Equation (VBE)'!#REF!</definedName>
    <definedName name="_01_Apr_00_00_00">'[2]Table 3-1'!#REF!</definedName>
    <definedName name="_01_Apr_01_00_00">'[2]Table 3-1'!#REF!</definedName>
    <definedName name="_01_Apr_99_00_00">'[2]Table 3-1'!#REF!</definedName>
    <definedName name="_01_Aug_00_00_00">'[2]Table 3-1'!#REF!</definedName>
    <definedName name="_01_Aug_01_00_00">'[2]Table 3-1'!#REF!</definedName>
    <definedName name="_01_Aug_98_00_00">'[2]Table 3-1'!#REF!</definedName>
    <definedName name="_01_Aug_99_00_00">'[2]Table 3-1'!#REF!</definedName>
    <definedName name="_01_Dec_00_00_00">'[2]Table 3-1'!#REF!</definedName>
    <definedName name="_01_Dec_98_00_00">'[2]Table 3-1'!#REF!</definedName>
    <definedName name="_01_Dec_99_00_00">'[2]Table 3-1'!#REF!</definedName>
    <definedName name="_01_Feb_00_00_00">'[2]Table 3-1'!#REF!</definedName>
    <definedName name="_01_Feb_01_00_00">'[2]Table 3-1'!#REF!</definedName>
    <definedName name="_01_Feb_99_00_00">'[2]Table 3-1'!#REF!</definedName>
    <definedName name="_01_Jan_00_00_00">'[2]Table 3-1'!#REF!</definedName>
    <definedName name="_01_Jan_01_00_00">'[2]Table 3-1'!#REF!</definedName>
    <definedName name="_01_Jan_99_00_00">'[2]Table 3-1'!#REF!</definedName>
    <definedName name="_01_Jul_00_00_00">'[2]Table 3-1'!#REF!</definedName>
    <definedName name="_01_Jul_01_00_00">'[2]Table 3-1'!#REF!</definedName>
    <definedName name="_01_Jul_99_00_00">'[2]Table 3-1'!#REF!</definedName>
    <definedName name="_01_Jun_00_00_00">'[2]Table 3-1'!#REF!</definedName>
    <definedName name="_01_Jun_01_00_00">'[2]Table 3-1'!#REF!</definedName>
    <definedName name="_01_Jun_99_00_00">'[2]Table 3-1'!#REF!</definedName>
    <definedName name="_01_Mar_00_00_00">'[2]Table 3-1'!#REF!</definedName>
    <definedName name="_01_Mar_01_00_00">'[2]Table 3-1'!#REF!</definedName>
    <definedName name="_01_Mar_99_00_00">'[2]Table 3-1'!#REF!</definedName>
    <definedName name="_01_May_00_00_00">'[2]Table 3-1'!#REF!</definedName>
    <definedName name="_01_May_01_00_00">'[2]Table 3-1'!#REF!</definedName>
    <definedName name="_01_May_99_00_00">'[2]Table 3-1'!#REF!</definedName>
    <definedName name="_01_Nov_00_00_00">'[2]Table 3-1'!#REF!</definedName>
    <definedName name="_01_Nov_98_00_00">'[2]Table 3-1'!#REF!</definedName>
    <definedName name="_01_Nov_99_00_00">'[2]Table 3-1'!#REF!</definedName>
    <definedName name="_01_Oct_00_00_00">'[2]Table 3-1'!#REF!</definedName>
    <definedName name="_01_Oct_98_00_00">'[2]Table 3-1'!#REF!</definedName>
    <definedName name="_01_Oct_99_00_00">'[2]Table 3-1'!#REF!</definedName>
    <definedName name="_01_Sep_00_00_00">'[2]Table 3-1'!#REF!</definedName>
    <definedName name="_01_Sep_98_00_00">'[2]Table 3-1'!#REF!</definedName>
    <definedName name="_01_Sep_99_00_00">'[2]Table 3-1'!#REF!</definedName>
    <definedName name="_AFU1">[3]BOIL4FO!#REF!</definedName>
    <definedName name="_AOR1">[3]BOIL4FO!#REF!</definedName>
    <definedName name="_AP42">'[4]Speciation (Kelloggs)'!#REF!</definedName>
    <definedName name="_API2">#REF!</definedName>
    <definedName name="_Key1" hidden="1">#REF!</definedName>
    <definedName name="_MFU1">[3]BOIL4FO!#REF!</definedName>
    <definedName name="_MOR1">[3]BOIL4FO!#REF!</definedName>
    <definedName name="_MW2">#REF!</definedName>
    <definedName name="_new1">'[1]x-Vasquez-Beggs Equation (VBE)'!$F$8</definedName>
    <definedName name="_new2">'[1]x-MACRO1'!$C$1</definedName>
    <definedName name="_new3">'[1]x-MACRO1'!$C$1</definedName>
    <definedName name="_NUM2">[3]BOIL4FO!#REF!</definedName>
    <definedName name="_Order1" hidden="1">255</definedName>
    <definedName name="_Order2" hidden="1">0</definedName>
    <definedName name="_rk1">[5]Rank!$B$6</definedName>
    <definedName name="_rk2">[5]Rank!$F$6</definedName>
    <definedName name="_rk3">[5]Rank!$J$6</definedName>
    <definedName name="_rk4">[5]Rank!$N$6</definedName>
    <definedName name="_rk6">[5]Rank!$V$6</definedName>
    <definedName name="_rk7">[5]Rank!$Z$6</definedName>
    <definedName name="_SG2">#REF!</definedName>
    <definedName name="_SGi2">#REF!</definedName>
    <definedName name="_SGx2">#REF!</definedName>
    <definedName name="_SO2">#REF!</definedName>
    <definedName name="_Sort" hidden="1">#REF!</definedName>
    <definedName name="_THC2">#REF!</definedName>
    <definedName name="_Ti2">#REF!</definedName>
    <definedName name="_VOC2">'[1]Vasquez-Beggs Equation (VBE)'!#REF!</definedName>
    <definedName name="\L">#REF!</definedName>
    <definedName name="\L2">#REF!</definedName>
    <definedName name="\p">#REF!</definedName>
    <definedName name="\q">#REF!</definedName>
    <definedName name="A">#N/A</definedName>
    <definedName name="A16BLA3Ar" hidden="1">{#N/A,#N/A,FALSE,"Summary";#N/A,#N/A,FALSE,"Production";#N/A,#N/A,FALSE,"Boiler";#N/A,#N/A,FALSE,"RTO";#N/A,#N/A,FALSE,"Dryers";#N/A,#N/A,FALSE,"Presses";#N/A,#N/A,FALSE,"Kilns";#N/A,#N/A,FALSE,"Cyclones";#N/A,#N/A,FALSE,"Storage Area Fu";#N/A,#N/A,FALSE,"Proc TSP Fug";#N/A,#N/A,FALSE,"Load Fug";#N/A,#N/A,FALSE,"VOC Fug";#N/A,#N/A,FALSE,"Storage Tanks";#N/A,#N/A,FALSE,"Road Fugitives"}</definedName>
    <definedName name="aa" hidden="1">{#N/A,#N/A,FALSE,"Heater summary";#N/A,#N/A,FALSE,"H-101 Post";#N/A,#N/A,FALSE,"H-102 Post";#N/A,#N/A,FALSE,"SG-1101A Post";#N/A,#N/A,FALSE,"SG-1101B Post";#N/A,#N/A,FALSE,"H-501 Post"}</definedName>
    <definedName name="abc" hidden="1">{#N/A,#N/A,TRUE,"1996 Emission Summary";#N/A,#N/A,TRUE,"Process Rates (1996)";#N/A,#N/A,TRUE,"Natural Gas Usage Analysis";#N/A,#N/A,TRUE,"Hogged Fuel Boiler (B1)";#N/A,#N/A,TRUE,"Hogged Fuel Boiler (nat. gas)";#N/A,#N/A,TRUE,"VOC Toxics from Combustion";#N/A,#N/A,TRUE,"Package Boiler (B2)";#N/A,#N/A,TRUE,"Cyclones (all)";#N/A,#N/A,TRUE,"Dryers (D1-D4)";#N/A,#N/A,TRUE,"Press Vents (PV)"}</definedName>
    <definedName name="ACDU">'[6]Drop-Down Box Data'!$B$45:$B$48</definedName>
    <definedName name="aerated_emissions">[7]Non_Electo_Tanks!$E$14:$E$51</definedName>
    <definedName name="Aerated_tank_lb_hr">[7]Non_Electo_Tanks!$Q$14:$Q$51</definedName>
    <definedName name="AFU">[3]BOIL4FO!#REF!</definedName>
    <definedName name="AFUDC">#REF!</definedName>
    <definedName name="AH_InletT">#REF!</definedName>
    <definedName name="AH_Leak">#REF!</definedName>
    <definedName name="ahafd">#REF!</definedName>
    <definedName name="Air_Mst">#REF!</definedName>
    <definedName name="Air2FD">#REF!</definedName>
    <definedName name="Air2PA">#REF!</definedName>
    <definedName name="Air2SA">#REF!</definedName>
    <definedName name="Airlbf">#REF!</definedName>
    <definedName name="AirMoist">#REF!</definedName>
    <definedName name="AirMstLoss">#REF!</definedName>
    <definedName name="Allowance">#REF!</definedName>
    <definedName name="amt">#REF!</definedName>
    <definedName name="Annual2005">#REF!</definedName>
    <definedName name="ANT">#REF!</definedName>
    <definedName name="ap">#REF!</definedName>
    <definedName name="AP_EF_UNITS">'[8]EGEN EF Ref2'!$D$97</definedName>
    <definedName name="AP_LgGen_CO_EF">'[8]EGEN EF Ref2'!$C$102</definedName>
    <definedName name="AP_LgGen_LowNOX_EF">'[8]EGEN EF Ref2'!$C$100</definedName>
    <definedName name="AP_LgGen_NOX_EF">'[8]EGEN EF Ref2'!$C$99</definedName>
    <definedName name="AP_LgGen_PM_EF">'[8]EGEN EF Ref2'!$C$97</definedName>
    <definedName name="AP_LgGen_SO2_EF">'[8]EGEN EF Ref2'!$C$98</definedName>
    <definedName name="AP_LgGen_VOC_EF">'[8]EGEN EF Ref2'!$C$103</definedName>
    <definedName name="AP_SmGen_CO_EF">'[8]EGEN EF Ref2'!$C$93</definedName>
    <definedName name="AP_SmGen_NOX_EF">'[8]EGEN EF Ref2'!$C$92</definedName>
    <definedName name="AP_SmGen_PM_EF">'[8]EGEN EF Ref2'!$C$90</definedName>
    <definedName name="AP_SmGen_SO2_EF">'[8]EGEN EF Ref2'!$C$91</definedName>
    <definedName name="AP_SmGen_VOC_EF">'[8]EGEN EF Ref2'!$C$94</definedName>
    <definedName name="AP42btu">#REF!</definedName>
    <definedName name="APD">#REF!</definedName>
    <definedName name="API">#REF!</definedName>
    <definedName name="Ash_lbf">#REF!</definedName>
    <definedName name="AT_List">[9]!Table13[[CAS Code]:[Pollutant Common Name]]</definedName>
    <definedName name="AT_List_Number">[10]!Table13[[CAS Code2]:[Pollutant Common Name]]</definedName>
    <definedName name="Auto_Filter">#REF!</definedName>
    <definedName name="AuxBoiler">#REF!</definedName>
    <definedName name="AuxPMW">#REF!</definedName>
    <definedName name="avgfuelperhour1">[3]BOIL4FO!#REF!</definedName>
    <definedName name="avgfuelperhour2">[3]BOIL4FO!#REF!</definedName>
    <definedName name="avghourperyear1">[3]BOIL4FO!#REF!</definedName>
    <definedName name="avghourperyear2">[3]BOIL4FO!#REF!</definedName>
    <definedName name="avghourperyr1">[3]BOIL4FO!#REF!</definedName>
    <definedName name="B">#N/A</definedName>
    <definedName name="BEGIN">'[11]Main Flare'!#REF!</definedName>
    <definedName name="BFPT_Exh_h">#REF!</definedName>
    <definedName name="BFPT_Flow">#REF!</definedName>
    <definedName name="BFPT_Heat_R">#REF!</definedName>
    <definedName name="BlrLoss">#REF!</definedName>
    <definedName name="Boiler_Efficiency">#REF!</definedName>
    <definedName name="BotAsh_lbMW">#REF!</definedName>
    <definedName name="BotAsh_pph">#REF!</definedName>
    <definedName name="BTUval">#REF!</definedName>
    <definedName name="BTUwT_25K_Munter">'[12]NG Usage vs Oxidizer Temp'!$C$19</definedName>
    <definedName name="BTUwT_44K_Munter">'[12]NG Usage vs Oxidizer Temp'!$H$19</definedName>
    <definedName name="BTUwT_90K_Anguil">'[12]NG Usage vs Oxidizer Temp'!$V$4</definedName>
    <definedName name="C_Cost__kw">#REF!</definedName>
    <definedName name="C_Cost_dkw">#REF!</definedName>
    <definedName name="C_Loss">#REF!</definedName>
    <definedName name="CA_Flow">#REF!</definedName>
    <definedName name="CaLoss">#REF!</definedName>
    <definedName name="CASEFILENAME">#REF!</definedName>
    <definedName name="CASR">#REF!</definedName>
    <definedName name="CC_esc">#REF!</definedName>
    <definedName name="CF">#REF!</definedName>
    <definedName name="CFBLIGNITEHAP">#REF!</definedName>
    <definedName name="CFBNATURALGASHAP">#REF!</definedName>
    <definedName name="chemical" localSheetId="9">'[13]GWGs Summary'!#REF!</definedName>
    <definedName name="chemical" localSheetId="1">'[13]GWGs Summary'!#REF!</definedName>
    <definedName name="chemical" localSheetId="2">'[13]GWGs Summary'!#REF!</definedName>
    <definedName name="chemical" localSheetId="4">'[13]GWGs Summary'!#REF!</definedName>
    <definedName name="chemical">'[13]GWGs Summary'!#REF!</definedName>
    <definedName name="Chemical_Emission_Rate_lb_yr_crit">[7]Summary_Criteria!$E$11:$E$32</definedName>
    <definedName name="Choice">'[6]Drop-Down Box Data'!$A$4:$A$5</definedName>
    <definedName name="CMP">'[6]Drop-Down Box Data'!$B$159:$B$161</definedName>
    <definedName name="CO">#REF!</definedName>
    <definedName name="CO_tpy_boilers">'[8]1_Boilers'!$AB$35:$AB$101</definedName>
    <definedName name="CO_tpy_BSSW">'[8]3_BSSW'!$R$20:$R$23</definedName>
    <definedName name="CO_tpy_EGens">'[8]4_ EGENs Fire Pumps'!$AH$22:$AH$91</definedName>
    <definedName name="CO_tpy_Heaters">'[8]5_Heaters'!$AA$28:$AA$101</definedName>
    <definedName name="CO_tpy_RCTO">'[8]2_ RCTOs - Combustion'!$X$32:$X$72</definedName>
    <definedName name="CO_tpy_TXMW">'[8]6_TMXW'!$Z$31:$Z$39</definedName>
    <definedName name="CO2_pph">#REF!</definedName>
    <definedName name="CO2vpct">#REF!</definedName>
    <definedName name="coce">[3]BOIL4FO!#REF!</definedName>
    <definedName name="coce1">[3]BOIL4FO!#REF!</definedName>
    <definedName name="coce2">[3]BOIL4FO!#REF!</definedName>
    <definedName name="COD">#REF!</definedName>
    <definedName name="coef">[3]BOIL4FO!$T$40</definedName>
    <definedName name="CombProd">#REF!</definedName>
    <definedName name="COMP">#REF!</definedName>
    <definedName name="Cond_h">#REF!</definedName>
    <definedName name="config">[3]BOIL4FO!$C$9</definedName>
    <definedName name="ContinuousCompliance">'[6]Drop-Down Box Data'!$B$50:$B$54</definedName>
    <definedName name="control">#REF!</definedName>
    <definedName name="CT_AIR_LBwtr">#REF!</definedName>
    <definedName name="CT_AIRcfm">#REF!</definedName>
    <definedName name="CT_Aux_Loss">#REF!</definedName>
    <definedName name="ctrlname">#REF!</definedName>
    <definedName name="CW_Flow">#REF!</definedName>
    <definedName name="CW_T_Rise">#REF!</definedName>
    <definedName name="d">[0]!d</definedName>
    <definedName name="Data">#REF!</definedName>
    <definedName name="DateTime">'[2]Table 3-1'!#REF!</definedName>
    <definedName name="Datum">'[6]Drop-Down Box Data'!$C$1:$C$4</definedName>
    <definedName name="Day">'[6]Drop-Down Box Data'!$A$23:$A$53</definedName>
    <definedName name="ddd">'[1]Vasquez-Beggs Equation (VBE)'!#REF!</definedName>
    <definedName name="dhk">#REF!</definedName>
    <definedName name="Dibasic_Acid_pph">#REF!</definedName>
    <definedName name="Dibasic_C">#REF!</definedName>
    <definedName name="Discount">#REF!</definedName>
    <definedName name="Disposal">#REF!</definedName>
    <definedName name="Dry_Air">#REF!</definedName>
    <definedName name="DryAir">#REF!</definedName>
    <definedName name="dryerft">[3]BOIL4FO!#REF!</definedName>
    <definedName name="DRYGAS">#REF!</definedName>
    <definedName name="dsah">#REF!</definedName>
    <definedName name="E_Tank_Emissions">'[7]Electrolytic Tank Emissions'!$E$7:$E$14</definedName>
    <definedName name="E_Tank_lb_hr">'[7]Electrolytic Tank Emissions'!$O$7:$O$14</definedName>
    <definedName name="EAF">#REF!</definedName>
    <definedName name="EF">[14]Model!$E$1</definedName>
    <definedName name="EFCO_VOC_D1B">'[12]Emission Factors'!$E$8</definedName>
    <definedName name="EFCO_VOC_D1C">'[12]Emission Factors'!$E$9</definedName>
    <definedName name="EFCO_VOC_D1D">'[12]Emission Factors'!$E$10</definedName>
    <definedName name="EFCO_VOC_D1X">'[12]Emission Factors'!$E$11</definedName>
    <definedName name="EFCO_VOC_F15">'[12]Emission Factors'!$E$4</definedName>
    <definedName name="efficiency">#REF!</definedName>
    <definedName name="EFNOX_VOC_D1B">'[12]Emission Factors'!$F$8</definedName>
    <definedName name="EFNOX_VOC_D1C">'[12]Emission Factors'!$F$9</definedName>
    <definedName name="EFNOX_VOC_D1D">'[12]Emission Factors'!$F$10</definedName>
    <definedName name="EFNOX_VOC_D1X">'[12]Emission Factors'!$F$11</definedName>
    <definedName name="EFNOx_VOC_F15">'[12]Emission Factors'!$F$4</definedName>
    <definedName name="egwgws" localSheetId="9">'[13]GWGs Summary'!#REF!</definedName>
    <definedName name="egwgws" localSheetId="1">'[13]GWGs Summary'!#REF!</definedName>
    <definedName name="egwgws" localSheetId="2">'[13]GWGs Summary'!#REF!</definedName>
    <definedName name="egwgws" localSheetId="4">'[13]GWGs Summary'!#REF!</definedName>
    <definedName name="egwgws">'[13]GWGs Summary'!#REF!</definedName>
    <definedName name="Emiss_Info">#REF!</definedName>
    <definedName name="emission">#REF!</definedName>
    <definedName name="emission_">#REF!</definedName>
    <definedName name="Emission_Unit_Ozone" localSheetId="9">#REF!</definedName>
    <definedName name="Emission_Unit_Ozone" localSheetId="1">#REF!</definedName>
    <definedName name="Emission_Unit_Ozone" localSheetId="2">#REF!</definedName>
    <definedName name="Emission_Unit_Ozone" localSheetId="4">#REF!</definedName>
    <definedName name="Emission_Unit_Ozone">#REF!</definedName>
    <definedName name="emission1">#REF!</definedName>
    <definedName name="emission2">#REF!</definedName>
    <definedName name="Emissions_by_OPN_Freeport">#REF!</definedName>
    <definedName name="Emissions_Unit_boilers">'[8]1_Boilers'!$A$35:$A$101</definedName>
    <definedName name="Emissions_Unit_BSSW">'[8]3_BSSW'!$A$20:$A$23</definedName>
    <definedName name="Emissions_Unit_EGens">'[8]4_ EGENs Fire Pumps'!$A$22:$A$91</definedName>
    <definedName name="Emissions_Unit_Heaters">'[8]5_Heaters'!$A$28:$A$101</definedName>
    <definedName name="Emissions_Unit_RCTO">'[8]2_ RCTOs - Combustion'!$A$32:$A$72</definedName>
    <definedName name="Emissions_Unit_TXMW">'[8]6_TMXW'!$A$31:$A$39</definedName>
    <definedName name="Emissions_Units_CTs">'[8]7_Cooling Towers'!$A$24:$A$105</definedName>
    <definedName name="endrep" localSheetId="9">#REF!</definedName>
    <definedName name="endrep" localSheetId="1">#REF!</definedName>
    <definedName name="endrep" localSheetId="2">#REF!</definedName>
    <definedName name="endrep" localSheetId="4">#REF!</definedName>
    <definedName name="endrep">#REF!</definedName>
    <definedName name="EngineType">#REF!</definedName>
    <definedName name="ess">[0]!ess</definedName>
    <definedName name="EssAliasTable">"Default"</definedName>
    <definedName name="EssOptions">"110000000013010_0"</definedName>
    <definedName name="Ex_GasT">#REF!</definedName>
    <definedName name="Exh_E">#REF!</definedName>
    <definedName name="Exit_FG_T">#REF!</definedName>
    <definedName name="Ext_esc">#REF!</definedName>
    <definedName name="f" hidden="1">{#N/A,#N/A,FALSE,"Summary";#N/A,#N/A,FALSE,"Production";#N/A,#N/A,FALSE,"Boiler";#N/A,#N/A,FALSE,"RTO";#N/A,#N/A,FALSE,"Dryers";#N/A,#N/A,FALSE,"Presses";#N/A,#N/A,FALSE,"Kilns";#N/A,#N/A,FALSE,"Cyclones";#N/A,#N/A,FALSE,"Storage Area Fu";#N/A,#N/A,FALSE,"Proc TSP Fug";#N/A,#N/A,FALSE,"Load Fug";#N/A,#N/A,FALSE,"VOC Fug";#N/A,#N/A,FALSE,"Storage Tanks";#N/A,#N/A,FALSE,"Road Fugitives"}</definedName>
    <definedName name="F_Lime_C">#REF!</definedName>
    <definedName name="Factors_Gas">#REF!</definedName>
    <definedName name="FC_esc">#REF!</definedName>
    <definedName name="FD_P_Rise">#REF!</definedName>
    <definedName name="FGasMst">#REF!</definedName>
    <definedName name="FGDWst_pph">#REF!</definedName>
    <definedName name="FGMW">#REF!</definedName>
    <definedName name="first" localSheetId="9">#REF!</definedName>
    <definedName name="first" localSheetId="1">#REF!</definedName>
    <definedName name="first" localSheetId="2">#REF!</definedName>
    <definedName name="first" localSheetId="4">#REF!</definedName>
    <definedName name="first">#REF!</definedName>
    <definedName name="firsthc" localSheetId="9">#REF!</definedName>
    <definedName name="firsthc" localSheetId="1">#REF!</definedName>
    <definedName name="firsthc" localSheetId="2">#REF!</definedName>
    <definedName name="firsthc" localSheetId="4">#REF!</definedName>
    <definedName name="firsthc">#REF!</definedName>
    <definedName name="firsttotil" localSheetId="9">#REF!</definedName>
    <definedName name="firsttotil" localSheetId="1">#REF!</definedName>
    <definedName name="firsttotil" localSheetId="2">#REF!</definedName>
    <definedName name="firsttotil" localSheetId="4">#REF!</definedName>
    <definedName name="firsttotil">#REF!</definedName>
    <definedName name="FlareFlows">[15]FlareBckup!$B$10:$G$26</definedName>
    <definedName name="FlareLHV">[15]FlareBckup!$B$37:$J$71</definedName>
    <definedName name="FLARES">#REF!</definedName>
    <definedName name="FlueGas_cfm">#REF!</definedName>
    <definedName name="FlueGas_T">#REF!</definedName>
    <definedName name="FlyAsh_pph">#REF!</definedName>
    <definedName name="FMstLoss">#REF!</definedName>
    <definedName name="Form">[16]MACRO1!$C$1</definedName>
    <definedName name="Form2">#REF!</definedName>
    <definedName name="FOTYPE">[3]BOIL4FO!$C$13</definedName>
    <definedName name="FREQUENCY">#REF!</definedName>
    <definedName name="Fu_Ash">#REF!</definedName>
    <definedName name="Fu_C">#REF!</definedName>
    <definedName name="Fu_H2">#REF!</definedName>
    <definedName name="Fu_H2O">#REF!</definedName>
    <definedName name="FU_N">#REF!</definedName>
    <definedName name="Fu_O2">#REF!</definedName>
    <definedName name="Fu_S">#REF!</definedName>
    <definedName name="Fuel">[17]EFs!$A$2:$A$19</definedName>
    <definedName name="Fuel_C">#REF!</definedName>
    <definedName name="Fuel_Cton">#REF!</definedName>
    <definedName name="Fuel_pph">#REF!</definedName>
    <definedName name="Fuel1">#REF!</definedName>
    <definedName name="Fuel2_pph">#REF!</definedName>
    <definedName name="furnacesI">#REF!</definedName>
    <definedName name="FurnacesT">#REF!</definedName>
    <definedName name="Future_OnOff">[12]Assumptions!$B$18</definedName>
    <definedName name="GasFlow_lbf">#REF!</definedName>
    <definedName name="GasLoss">#REF!</definedName>
    <definedName name="GF_Furn">#REF!</definedName>
    <definedName name="ggo">#REF!</definedName>
    <definedName name="GHV">#REF!</definedName>
    <definedName name="GOR_Data">[18]GOR!#REF!</definedName>
    <definedName name="gotovard">[0]!gotovard</definedName>
    <definedName name="Gotovaru">[0]!Gotovaru</definedName>
    <definedName name="GPHR">#REF!</definedName>
    <definedName name="GT_CompE">#REF!</definedName>
    <definedName name="GT_ExhGas">#REF!</definedName>
    <definedName name="GT_Net_out">#REF!</definedName>
    <definedName name="GTout">#REF!</definedName>
    <definedName name="H_2">#REF!</definedName>
    <definedName name="H2C7651_CV">'[2]Table 3-1'!#REF!</definedName>
    <definedName name="H2Loss">#REF!</definedName>
    <definedName name="H2O_gpm">#REF!</definedName>
    <definedName name="H2Ovpct">#REF!</definedName>
    <definedName name="HAir">#REF!</definedName>
    <definedName name="HAsh">#REF!</definedName>
    <definedName name="Heat2Cond">#REF!</definedName>
    <definedName name="HeaterBoilerRating">'[18]Heaters-Boilers'!$P$12:$P$19</definedName>
    <definedName name="HeatInput">#REF!</definedName>
    <definedName name="Help">#REF!</definedName>
    <definedName name="HGI">#REF!</definedName>
    <definedName name="HGTin">#REF!</definedName>
    <definedName name="HGTout">#REF!</definedName>
    <definedName name="HHRSGout">#REF!</definedName>
    <definedName name="HHV">#REF!</definedName>
    <definedName name="hhvgas">'[19]Standard Values'!$B$2</definedName>
    <definedName name="HI">#REF!</definedName>
    <definedName name="HSorb">#REF!</definedName>
    <definedName name="i">#REF!</definedName>
    <definedName name="ID_P_Rise">#REF!</definedName>
    <definedName name="Ifurn">#REF!</definedName>
    <definedName name="Infilt">#REF!</definedName>
    <definedName name="INPUTS">[20]A!$A$22:$AL$46</definedName>
    <definedName name="Inservice">#REF!</definedName>
    <definedName name="Julie">[21]MACRO1!$C$1</definedName>
    <definedName name="k">#REF!</definedName>
    <definedName name="last" localSheetId="9">#REF!</definedName>
    <definedName name="last" localSheetId="1">#REF!</definedName>
    <definedName name="last" localSheetId="2">#REF!</definedName>
    <definedName name="last" localSheetId="4">#REF!</definedName>
    <definedName name="last">#REF!</definedName>
    <definedName name="lasthc" localSheetId="9">#REF!</definedName>
    <definedName name="lasthc" localSheetId="1">#REF!</definedName>
    <definedName name="lasthc" localSheetId="2">#REF!</definedName>
    <definedName name="lasthc" localSheetId="4">#REF!</definedName>
    <definedName name="lasthc">#REF!</definedName>
    <definedName name="Lbs_Per_Day">#REF!</definedName>
    <definedName name="Lead_tpy_boilers">'[8]1_Boilers'!$AJ$35:$AJ$101</definedName>
    <definedName name="Lead_tpy_BSSW">'[8]3_BSSW'!$AB$20:$AB$23</definedName>
    <definedName name="Lead_tpy_Heaters">'[8]5_Heaters'!$AK$28:$AK$101</definedName>
    <definedName name="Lead_tpy_RCTO">'[8]2_ RCTOs - Combustion'!$AO$32:$AO$72</definedName>
    <definedName name="Lead_tpy_TMXW">'[8]6_TMXW'!$AJ$31:$AJ$39</definedName>
    <definedName name="LFCR">#REF!</definedName>
    <definedName name="Life">#REF!</definedName>
    <definedName name="Lime_C">#REF!</definedName>
    <definedName name="liquid">#REF!</definedName>
    <definedName name="Load">#REF!</definedName>
    <definedName name="location">[3]BOIL4FO!$L$42</definedName>
    <definedName name="LP_Turb_E">#REF!</definedName>
    <definedName name="LPT_Heat_R">#REF!</definedName>
    <definedName name="Main">#REF!</definedName>
    <definedName name="maxfuel">[3]BOIL4FO!#REF!</definedName>
    <definedName name="maxfuelperhour1">[3]BOIL4FO!#REF!</definedName>
    <definedName name="maxfuelperhour2">[3]BOIL4FO!#REF!</definedName>
    <definedName name="maxhour">[3]BOIL4FO!#REF!</definedName>
    <definedName name="maxhourperyear1">[3]BOIL4FO!#REF!</definedName>
    <definedName name="maxhourperyear2">[3]BOIL4FO!#REF!</definedName>
    <definedName name="maxlbphr">[3]BOIL4FO!#REF!</definedName>
    <definedName name="maxrate">[3]BOIL4FO!#REF!</definedName>
    <definedName name="Method">'[6]Drop-Down Box Data'!$B$1:$B$39</definedName>
    <definedName name="Mfg_mrgn">#REF!</definedName>
    <definedName name="MgLoss">#REF!</definedName>
    <definedName name="minWindSpd">[22]Introduction!$T$17</definedName>
    <definedName name="mjk">'[1]Vasquez-Beggs Equation (VBE)'!#REF!</definedName>
    <definedName name="MolarVolume">#REF!</definedName>
    <definedName name="MolWt">#REF!</definedName>
    <definedName name="Month">'[6]Drop-Down Box Data'!$A$10:$A$21</definedName>
    <definedName name="mqy">'[23]Wafer Starts'!$AC$25</definedName>
    <definedName name="MS_Flow">#REF!</definedName>
    <definedName name="MW">#REF!</definedName>
    <definedName name="N0_GT">#REF!</definedName>
    <definedName name="N2vpct">#REF!</definedName>
    <definedName name="Name">"Aromatics and Dienes"</definedName>
    <definedName name="NatFactor">#REF!</definedName>
    <definedName name="new">'[1]x-Vasquez-Beggs Equation (VBE)'!$F$8</definedName>
    <definedName name="NG_heatcontent">[12]Assumptions1!$P$17</definedName>
    <definedName name="ngheatcontent">[3]BOIL4FO!#REF!</definedName>
    <definedName name="NGO">#REF!</definedName>
    <definedName name="NH3_pph">#REF!</definedName>
    <definedName name="NH3NO2_Molar">#REF!</definedName>
    <definedName name="No_SG">#REF!</definedName>
    <definedName name="No_ST">#REF!</definedName>
    <definedName name="No_Stacks">#REF!</definedName>
    <definedName name="NOX">#REF!</definedName>
    <definedName name="NOx_MBtu">#REF!</definedName>
    <definedName name="NOx_pph">#REF!</definedName>
    <definedName name="NOX_Removal">#REF!</definedName>
    <definedName name="NOx_tpy_boilers">'[8]1_Boilers'!$Y$35:$Y$101</definedName>
    <definedName name="NOx_tpy_BSSW">'[8]3_BSSW'!$T$20:$T$23</definedName>
    <definedName name="NOx_tpy_EGens">'[8]4_ EGENs Fire Pumps'!$AA$22:$AA$91</definedName>
    <definedName name="NOx_tpy_Heaters">'[8]5_Heaters'!$AC$28:$AC$101</definedName>
    <definedName name="NOx_tpy_RCTO">'[8]2_ RCTOs - Combustion'!$U$32:$U$72</definedName>
    <definedName name="NOx_tpy_TXMW">'[8]6_TMXW'!$AB$31:$AB$39</definedName>
    <definedName name="noxce1">[3]BOIL4FO!#REF!</definedName>
    <definedName name="noxce2">[3]BOIL4FO!#REF!</definedName>
    <definedName name="noxef">[3]BOIL4FO!$R$40</definedName>
    <definedName name="NOxpMB">#REF!</definedName>
    <definedName name="NPHR">#REF!</definedName>
    <definedName name="NTHR">#REF!</definedName>
    <definedName name="num">[3]BOIL4FO!#REF!</definedName>
    <definedName name="O_M">#REF!</definedName>
    <definedName name="O_M2">#REF!</definedName>
    <definedName name="O2pct">#REF!</definedName>
    <definedName name="OM_esc">#REF!</definedName>
    <definedName name="OperatingSchedule">#REF!</definedName>
    <definedName name="OUTPUTS">[20]B!$A$10:$AB$34</definedName>
    <definedName name="Ovpct">#REF!</definedName>
    <definedName name="Ozone_tpy_Ozone" localSheetId="9">#REF!</definedName>
    <definedName name="Ozone_tpy_Ozone" localSheetId="1">#REF!</definedName>
    <definedName name="Ozone_tpy_Ozone" localSheetId="2">#REF!</definedName>
    <definedName name="Ozone_tpy_Ozone" localSheetId="4">#REF!</definedName>
    <definedName name="Ozone_tpy_Ozone">#REF!</definedName>
    <definedName name="OzonefactorB">#REF!</definedName>
    <definedName name="OzonefactorG">#REF!</definedName>
    <definedName name="OzonefactorH">#REF!</definedName>
    <definedName name="P">#REF!</definedName>
    <definedName name="PA_P_Rise">#REF!</definedName>
    <definedName name="partef">[3]BOIL4FO!$N$40</definedName>
    <definedName name="Partic_Eff">#REF!</definedName>
    <definedName name="Partic_pph">#REF!</definedName>
    <definedName name="PermitCaseMultiplier">#REF!</definedName>
    <definedName name="Plantware_Annual">#REF!</definedName>
    <definedName name="Plantware_Ozone">#REF!</definedName>
    <definedName name="PM">#REF!</definedName>
    <definedName name="PM10_tpy_boilers">'[8]1_Boilers'!$AD$35:$AD$101</definedName>
    <definedName name="PM10_tpy_BSSW">'[8]3_BSSW'!$V$20:$V$23</definedName>
    <definedName name="PM10_tpy_CTs">'[8]7_Cooling Towers'!$AO$24:$AO$105</definedName>
    <definedName name="PM10_tpy_EGens">'[8]4_ EGENs Fire Pumps'!$AM$22:$AM$91</definedName>
    <definedName name="PM10_tpy_Heaters">'[8]5_Heaters'!$AE$28:$AE$101</definedName>
    <definedName name="PM10_tpy_RCTO">'[8]2_ RCTOs - Combustion'!$AK$32:$AK$72</definedName>
    <definedName name="PM10_tpy_TMXW">'[8]6_TMXW'!$AD$31:$AD$39</definedName>
    <definedName name="PM2.5_tpy_boilers">'[8]1_Boilers'!$AF$35:$AF$101</definedName>
    <definedName name="PM2.5_tpy_BSSW">'[8]3_BSSW'!$X$20:$X$23</definedName>
    <definedName name="PM2.5_tpy_CTs">'[8]7_Cooling Towers'!$AQ$24:$AQ$105</definedName>
    <definedName name="PM2.5_tpy_EGens">'[8]4_ EGENs Fire Pumps'!$AR$22:$AR$91</definedName>
    <definedName name="PM2.5_tpy_Heaters">'[8]5_Heaters'!$AG$28:$AG$101</definedName>
    <definedName name="PM2.5_tpy_RCTO">'[8]2_ RCTOs - Combustion'!$AM$32:$AM$72</definedName>
    <definedName name="PM2.5_tpy_TXMW">'[8]6_TMXW'!$AF$31:$AF$39</definedName>
    <definedName name="pmce1">[3]BOIL4FO!#REF!</definedName>
    <definedName name="pmce2">[3]BOIL4FO!#REF!</definedName>
    <definedName name="PMEF">[3]BOIL4FO!#REF!</definedName>
    <definedName name="POISTAGS">#REF!</definedName>
    <definedName name="Pollutant_Class_Crit">[7]Summary_Criteria!$C$11:$C$32</definedName>
    <definedName name="PP">#REF!</definedName>
    <definedName name="_xlnm.Print_Area" localSheetId="5">'1Pretreatment Heater H2'!$A$4:$E$72</definedName>
    <definedName name="_xlnm.Print_Area" localSheetId="6">'2Coating Oven Burner H3'!$A$4:$E$69</definedName>
    <definedName name="_xlnm.Print_Area" localSheetId="7">'3Coating Oven (CO1)'!$A$3:$H$36</definedName>
    <definedName name="_xlnm.Print_Area" localSheetId="8">'4Coating Line Baths (CL1)'!$A$59:$Q$88</definedName>
    <definedName name="_xlnm.Print_Area" localSheetId="9">'5Welding (W1)'!$A$4:$F$37</definedName>
    <definedName name="_xlnm.Print_Area" localSheetId="1">'6Condensing Boiler (B1)'!$A$4:$E$74</definedName>
    <definedName name="_xlnm.Print_Area" localSheetId="2">'7Building F Domestic HWH (B2)'!$A$4:$E$74</definedName>
    <definedName name="_xlnm.Print_Area" localSheetId="3">'8Pretreatment Heater H1'!$A$4:$E$75</definedName>
    <definedName name="_xlnm.Print_Area" localSheetId="4">'9IR Heaters (H4)'!$A$4:$E$74</definedName>
    <definedName name="_xlnm.Print_Area" localSheetId="0">'Emission summary'!$A$3:$H$30</definedName>
    <definedName name="_xlnm.Print_Area">#REF!</definedName>
    <definedName name="Print_Area_MI">#REF!</definedName>
    <definedName name="Print_Form">#REF!</definedName>
    <definedName name="_xlnm.Print_Titles" localSheetId="5">'1Pretreatment Heater H2'!$39:$40</definedName>
    <definedName name="_xlnm.Print_Titles" localSheetId="6">'2Coating Oven Burner H3'!$36:$37</definedName>
    <definedName name="_xlnm.Print_Titles" localSheetId="2">'7Building F Domestic HWH (B2)'!$36:$37</definedName>
    <definedName name="_xlnm.Print_Titles" localSheetId="3">'8Pretreatment Heater H1'!$36:$37</definedName>
    <definedName name="_xlnm.Print_Titles" localSheetId="4">'9IR Heaters (H4)'!$36:$37</definedName>
    <definedName name="_xlnm.Print_Titles">#N/A</definedName>
    <definedName name="printdollardetail">[0]!printdollardetail</definedName>
    <definedName name="printunitsdetail">[0]!printunitsdetail</definedName>
    <definedName name="process_POU_scalar">[12]Model!$I$4</definedName>
    <definedName name="process_scalar">[12]Model!$I$3</definedName>
    <definedName name="Ptitle_Fugi_1">#REF!,#REF!</definedName>
    <definedName name="Ptitle_Fugi_2">#REF!,#REF!</definedName>
    <definedName name="Q">#REF!</definedName>
    <definedName name="QBlr">#REF!</definedName>
    <definedName name="QQ">#REF!</definedName>
    <definedName name="RadLoss">#REF!</definedName>
    <definedName name="Rank1">[5]Rank!$A$6:$C$15</definedName>
    <definedName name="Rank10">[5]Rank!$I$19:$K$43</definedName>
    <definedName name="Rank11">[5]Rank!$M$19:$O$43</definedName>
    <definedName name="Rank12">[5]Rank!$Q$19:$S$43</definedName>
    <definedName name="Rank13">[5]Rank!$U$19:$W$43</definedName>
    <definedName name="Rank14">[5]Rank!$Y$19:$AA$43</definedName>
    <definedName name="Rank15">[5]Rank!$A$48:$B$60</definedName>
    <definedName name="Rank16">[5]Rank!$E$48:$G$60</definedName>
    <definedName name="Rank17">[5]Rank!$I$48:$K$60</definedName>
    <definedName name="Rank18">[5]Rank!$M$48:$O$60</definedName>
    <definedName name="Rank19">[5]Rank!$Q$48:$S$60</definedName>
    <definedName name="Rank2">[5]Rank!$E$6:$G$15</definedName>
    <definedName name="Rank20">[5]Rank!$U$48:$W$60</definedName>
    <definedName name="Rank21">[5]Rank!$Y$48:$AA$60</definedName>
    <definedName name="Rank22">[5]Rank!$A$63:$C$78</definedName>
    <definedName name="Rank23">[5]Rank!$E$63:$G$78</definedName>
    <definedName name="Rank24">[5]Rank!$I$63:$K$78</definedName>
    <definedName name="Rank25">[5]Rank!$M$63:$O$78</definedName>
    <definedName name="Rank26">[5]Rank!$Q$63:$S$78</definedName>
    <definedName name="Rank27">[5]Rank!$U$63:$W$78</definedName>
    <definedName name="Rank28">[5]Rank!$Y$63:$AA$78</definedName>
    <definedName name="Rank3">[5]Rank!$I$6:$K$15</definedName>
    <definedName name="Rank4">[5]Rank!$M$6:$O$15</definedName>
    <definedName name="Rank5">[5]Rank!$Q$6:$S$15</definedName>
    <definedName name="Rank6">[5]Rank!$U$6:$W$15</definedName>
    <definedName name="Rank7">[5]Rank!$Y$6:$AA$15</definedName>
    <definedName name="Rank8">[5]Rank!$A$19:$C$43</definedName>
    <definedName name="Rank9">[5]Rank!$E$19:$G$43</definedName>
    <definedName name="rated">[3]BOIL4FO!#REF!</definedName>
    <definedName name="RBC_Table">[24]RBC!$B$6:$J$266</definedName>
    <definedName name="RCTO_T">[12]Assumptions1!$P$18</definedName>
    <definedName name="RCTO_Utilize">[12]Pareto!$B$29</definedName>
    <definedName name="Reg_No">#N/A</definedName>
    <definedName name="Reisman2.5from10">'[14]CoolingTower PTE'!$E$10</definedName>
    <definedName name="Rep_Pwr_C">#REF!</definedName>
    <definedName name="s">[25]MACRO1!$C$1</definedName>
    <definedName name="S_Removal">#REF!</definedName>
    <definedName name="saturation">#REF!</definedName>
    <definedName name="SBEngines">[25]MACRO1!$C$1</definedName>
    <definedName name="sdf">#REF!</definedName>
    <definedName name="sggssfg">#REF!</definedName>
    <definedName name="SGi">#REF!</definedName>
    <definedName name="SGx">#REF!</definedName>
    <definedName name="sheet100">[0]!sheet100</definedName>
    <definedName name="SIC">[3]BOIL4FO!$C$8</definedName>
    <definedName name="sL">#REF!</definedName>
    <definedName name="SO2_esc">#REF!</definedName>
    <definedName name="SO2_tpy_boilers">'[8]1_Boilers'!$AH$35:$AH$101</definedName>
    <definedName name="SO2_tpy_BSSW">'[8]3_BSSW'!$Z$20:$Z$23</definedName>
    <definedName name="SO2_tpy_EGens">'[8]4_ EGENs Fire Pumps'!$AV$22:$AV$91</definedName>
    <definedName name="SO2_tpy_Heaters">'[8]5_Heaters'!$AI$28:$AI$101</definedName>
    <definedName name="SO2_tpy_RCTO">'[8]2_ RCTOs - Combustion'!$AD$32:$AD$72</definedName>
    <definedName name="SO2_tpy_TMXW">'[8]6_TMXW'!$AH$31:$AH$39</definedName>
    <definedName name="so2ce1">[3]BOIL4FO!#REF!</definedName>
    <definedName name="so2ce2">[3]BOIL4FO!#REF!</definedName>
    <definedName name="so2ef">[3]BOIL4FO!$P$40</definedName>
    <definedName name="SO2vpct">#REF!</definedName>
    <definedName name="SOME">#N/A</definedName>
    <definedName name="Sorb_lbf">#REF!</definedName>
    <definedName name="Sorb_pph">#REF!</definedName>
    <definedName name="SorbAsh">#REF!</definedName>
    <definedName name="SorbCaCO3">#REF!</definedName>
    <definedName name="SOrbCaO">#REF!</definedName>
    <definedName name="SorbMgCO3">#REF!</definedName>
    <definedName name="SorbMoist">#REF!</definedName>
    <definedName name="source">[26]fugitive!$A$6:$H$24</definedName>
    <definedName name="SOx_pph">#REF!</definedName>
    <definedName name="SOx_Uncntrl">#REF!</definedName>
    <definedName name="SOxpMB">#REF!</definedName>
    <definedName name="SOxppm">#REF!</definedName>
    <definedName name="ssjf">#REF!</definedName>
    <definedName name="status">[3]BOIL4FO!#REF!</definedName>
    <definedName name="Stm_Inj_Flow">#REF!</definedName>
    <definedName name="STout">#REF!</definedName>
    <definedName name="sulfurpercent">[3]BOIL4FO!$C$15</definedName>
    <definedName name="SulGain">#REF!</definedName>
    <definedName name="SummaryD800">[27]Vents!#REF!</definedName>
    <definedName name="SummaryEPN424final">'[28]HU-CWTR'!#REF!</definedName>
    <definedName name="SummaryEPN424initial">'[28]HU-CWTR'!#REF!</definedName>
    <definedName name="SummD155">[27]Vents!#REF!</definedName>
    <definedName name="T_Solid_Wst">#REF!</definedName>
    <definedName name="T8A">'[29]Table 8 Att'!#REF!</definedName>
    <definedName name="Table_1_a">#REF!</definedName>
    <definedName name="TailFactor">#REF!</definedName>
    <definedName name="tanksFX">[30]FX!$A$7:$F$60</definedName>
    <definedName name="tanksIFR">#REF!</definedName>
    <definedName name="Tanktype">'[18]MSS FLR Tank Landing Loss'!#REF!</definedName>
    <definedName name="TAPHAP">'[6]Drop-Down Box Data'!$E$1:$E$226</definedName>
    <definedName name="TAuxPwr">#REF!</definedName>
    <definedName name="Tbl31Data">#REF!</definedName>
    <definedName name="tblOutput10">'[31]EI Reporting Form'!#REF!</definedName>
    <definedName name="THAIR">#REF!</definedName>
    <definedName name="THC">#REF!</definedName>
    <definedName name="ThDRYGAS">#REF!</definedName>
    <definedName name="Ti">#REF!</definedName>
    <definedName name="TotAirFlo">#REF!</definedName>
    <definedName name="TPY">#REF!</definedName>
    <definedName name="TRPwr">#REF!</definedName>
    <definedName name="tt">#REF!</definedName>
    <definedName name="Turbine">#REF!</definedName>
    <definedName name="UnacLoss">#REF!</definedName>
    <definedName name="UNI_AA_VERSION" hidden="1">"150.2.0"</definedName>
    <definedName name="UNI_FILT_END" hidden="1">8</definedName>
    <definedName name="UNI_FILT_OFFSPEC" hidden="1">2</definedName>
    <definedName name="UNI_FILT_ONSPEC" hidden="1">1</definedName>
    <definedName name="UNI_FILT_START" hidden="1">4</definedName>
    <definedName name="UNI_NOTHING" hidden="1">0</definedName>
    <definedName name="UNI_PRES_CLOSEST" hidden="1">512</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MRECORD" hidden="1">64</definedName>
    <definedName name="UNI_PRES_OUTLIERS" hidden="1">32</definedName>
    <definedName name="UNI_PRES_POST" hidden="1">256</definedName>
    <definedName name="UNI_PRES_PRIOR" hidden="1">2048</definedName>
    <definedName name="UNI_PRES_RECENT" hidden="1">1024</definedName>
    <definedName name="UNI_PRES_STATIC" hidden="1">128</definedName>
    <definedName name="UNI_PRES_TRANSPOSE" hidden="1">4096</definedName>
    <definedName name="UNI_RET_ATTRIB" hidden="1">64</definedName>
    <definedName name="UNI_RET_CONF" hidden="1">32</definedName>
    <definedName name="UNI_RET_DESC" hidden="1">4</definedName>
    <definedName name="UNI_RET_END" hidden="1">16384</definedName>
    <definedName name="UNI_RET_EQUIP" hidden="1">32768</definedName>
    <definedName name="UNI_RET_EVENT" hidden="1">4096</definedName>
    <definedName name="UNI_RET_OFFSPEC" hidden="1">512</definedName>
    <definedName name="UNI_RET_ONSPEC" hidden="1">256</definedName>
    <definedName name="UNI_RET_PROP" hidden="1">131072</definedName>
    <definedName name="UNI_RET_PROPDESC" hidden="1">262144</definedName>
    <definedName name="UNI_RET_SMPLPNT" hidden="1">65536</definedName>
    <definedName name="UNI_RET_SPECMAX" hidden="1">2048</definedName>
    <definedName name="UNI_RET_SPECMIN" hidden="1">1024</definedName>
    <definedName name="UNI_RET_START" hidden="1">8192</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FORMANCES1R1C3" hidden="1">#REF!</definedName>
    <definedName name="UNIFORMANCES1R7C1" hidden="1">#REF!</definedName>
    <definedName name="UNIFORMANCES1R7C13" hidden="1">#REF!</definedName>
    <definedName name="UNIFORMANCES1R7C17" hidden="1">#REF!</definedName>
    <definedName name="UNIFORMANCES1R7C21" hidden="1">#REF!</definedName>
    <definedName name="UNIFORMANCES1R7C25" hidden="1">#REF!</definedName>
    <definedName name="UNIFORMANCES1R7C29" hidden="1">#REF!</definedName>
    <definedName name="UNIFORMANCES1R7C33" hidden="1">#REF!</definedName>
    <definedName name="UNIFORMANCES1R7C37" hidden="1">#REF!</definedName>
    <definedName name="UNIFORMANCES1R7C41" hidden="1">#REF!</definedName>
    <definedName name="UNIFORMANCES1R7C45" hidden="1">#REF!</definedName>
    <definedName name="UNIFORMANCES1R7C5" hidden="1">#REF!</definedName>
    <definedName name="UNIFORMANCES1R7C9" hidden="1">#REF!</definedName>
    <definedName name="UNIFORMANCES2R545C1" hidden="1">#REF!</definedName>
    <definedName name="UNIFORMANCES2R566C1" hidden="1">#REF!</definedName>
    <definedName name="UNIFORMANCES2R569C1" hidden="1">#REF!</definedName>
    <definedName name="UNIFORMANCES2R594C1" hidden="1">#REF!</definedName>
    <definedName name="UNIFORMANCES2R619C1" hidden="1">#REF!</definedName>
    <definedName name="UNIFORMANCES2R664C1" hidden="1">#REF!</definedName>
    <definedName name="UNIFORMANCES2R692C1" hidden="1">#REF!</definedName>
    <definedName name="UNIFORMANCES2R726C1" hidden="1">#REF!</definedName>
    <definedName name="UNIFORMANCES2R767C1" hidden="1">#REF!</definedName>
    <definedName name="UNIFORMANCES2R7C1" hidden="1">#REF!</definedName>
    <definedName name="UNIFORMANCES2R7C13" hidden="1">#REF!</definedName>
    <definedName name="UNIFORMANCES2R7C17" hidden="1">#REF!</definedName>
    <definedName name="UNIFORMANCES2R7C21" hidden="1">#REF!</definedName>
    <definedName name="UNIFORMANCES2R7C25" hidden="1">#REF!</definedName>
    <definedName name="UNIFORMANCES2R7C29" hidden="1">#REF!</definedName>
    <definedName name="UNIFORMANCES2R7C33" hidden="1">#REF!</definedName>
    <definedName name="UNIFORMANCES2R7C37" hidden="1">#REF!</definedName>
    <definedName name="UNIFORMANCES2R7C41" hidden="1">#REF!</definedName>
    <definedName name="UNIFORMANCES2R7C45" hidden="1">#REF!</definedName>
    <definedName name="UNIFORMANCES2R7C5" hidden="1">#REF!</definedName>
    <definedName name="UNIFORMANCES2R7C9" hidden="1">#REF!</definedName>
    <definedName name="UNIFORMANCES2R830C1" hidden="1">#REF!</definedName>
    <definedName name="UNIFORMANCES2R870C1" hidden="1">#REF!</definedName>
    <definedName name="UNIFORMANCES2R892C1" hidden="1">#REF!</definedName>
    <definedName name="UNIFORMANCES6R355C1" hidden="1">#REF!</definedName>
    <definedName name="UNIFORMANCES7R375C1" hidden="1">#REF!</definedName>
    <definedName name="UNIFORMANCES7R415C1" hidden="1">#REF!</definedName>
    <definedName name="UNIFORMANCES7R463C1" hidden="1">#REF!</definedName>
    <definedName name="UNIFORMANCES7R467C1" hidden="1">#REF!</definedName>
    <definedName name="UNIFORMANCES7R515C1" hidden="1">#REF!</definedName>
    <definedName name="Unit">[17]EFs!$J$3:$J$7</definedName>
    <definedName name="unknown">#REF!</definedName>
    <definedName name="UTMZone">'[6]Drop-Down Box Data'!$A$1:$A$2</definedName>
    <definedName name="valve_ct">#REF!</definedName>
    <definedName name="Velocity">#REF!</definedName>
    <definedName name="VOC">#REF!</definedName>
    <definedName name="vocef">[3]BOIL4FO!$AB$40</definedName>
    <definedName name="vomce">[3]BOIL4FO!#REF!</definedName>
    <definedName name="vomce1">[3]BOIL4FO!#REF!</definedName>
    <definedName name="vomce2">[3]BOIL4FO!#REF!</definedName>
    <definedName name="VOMEF">[3]BOIL4FO!#REF!</definedName>
    <definedName name="Water_C">#REF!</definedName>
    <definedName name="WHB">#REF!</definedName>
    <definedName name="wrn.1996._.EIS._.Report." hidden="1">{#N/A,#N/A,TRUE,"1996 Emission Summary";#N/A,#N/A,TRUE,"Process Rates (1996)";#N/A,#N/A,TRUE,"Natural Gas Usage Analysis";#N/A,#N/A,TRUE,"Hogged Fuel Boiler (B1)";#N/A,#N/A,TRUE,"Hogged Fuel Boiler (nat. gas)";#N/A,#N/A,TRUE,"VOC Toxics from Combustion";#N/A,#N/A,TRUE,"Package Boiler (B2)";#N/A,#N/A,TRUE,"Cyclones (all)";#N/A,#N/A,TRUE,"Dryers (D1-D4)";#N/A,#N/A,TRUE,"Press Vents (PV)"}</definedName>
    <definedName name="wrn.1996._.Emission._.Inventory." hidden="1">{#N/A,#N/A,FALSE,"Summary";#N/A,#N/A,FALSE,"Production";#N/A,#N/A,FALSE,"Boiler";#N/A,#N/A,FALSE,"RTO";#N/A,#N/A,FALSE,"Dryers";#N/A,#N/A,FALSE,"Presses";#N/A,#N/A,FALSE,"Kilns";#N/A,#N/A,FALSE,"Cyclones";#N/A,#N/A,FALSE,"Storage Area Fu";#N/A,#N/A,FALSE,"Proc TSP Fug";#N/A,#N/A,FALSE,"Load Fug";#N/A,#N/A,FALSE,"VOC Fug";#N/A,#N/A,FALSE,"Storage Tanks";#N/A,#N/A,FALSE,"Road Fugitives"}</definedName>
    <definedName name="wrn.Calcs." hidden="1">{#N/A,#N/A,FALSE,"Summary";#N/A,#N/A,FALSE,"Baghouses - Flow";#N/A,#N/A,FALSE,"2-95 Hot Press";#N/A,#N/A,FALSE,"3-95 I-Assembly";#N/A,#N/A,FALSE,"4-95 Hot Oil Heater";#N/A,#N/A,FALSE,"6-95 Diesel Tank";#N/A,#N/A,FALSE,"1-97 LVL Assembly";#N/A,#N/A,FALSE,"4-97 Glue Fugitives";#N/A,#N/A,FALSE,"5-97 LVL Surface Pre-Heaters";#N/A,#N/A,FALSE,"6-97 LVL Conditioning Heaters";#N/A,#N/A,FALSE,"8-97 Fugitive Inks";#N/A,#N/A,FALSE,"Tanks";#N/A,#N/A,FALSE,"I-Assembly Cond. Heaters"}</definedName>
    <definedName name="wrn.Compositions." hidden="1">{"Compositions",#N/A,FALSE,"TTU Summary"}</definedName>
    <definedName name="wrn.EPNs." hidden="1">{#N/A,#N/A,TRUE,"EPN 500";#N/A,#N/A,TRUE,"EPN 505 (Trains I-III Stippers)";#N/A,#N/A,TRUE,"EPN 505 (Trains I-III Dryers)";#N/A,#N/A,TRUE,"EPN 505 (Tr I-III Water Wash)";#N/A,#N/A,TRUE,"EPN 505 (Train IV)";#N/A,#N/A,TRUE,"EPN 505 Summary";#N/A,#N/A,TRUE,"EPN 514";#N/A,#N/A,TRUE,"EPN 517";#N/A,#N/A,TRUE,"EPN 518";#N/A,#N/A,TRUE,"EPN 520";#N/A,#N/A,TRUE,"EPN 523";#N/A,#N/A,TRUE,"EPN 524 Summary";#N/A,#N/A,TRUE,"EPN 525 &amp; 526";#N/A,#N/A,TRUE,"EPN 534";#N/A,#N/A,TRUE,"EPN 536 Summary";#N/A,#N/A,TRUE,"EPN 538";#N/A,#N/A,TRUE,"EPN 605";#N/A,#N/A,TRUE,"EPN 606";#N/A,#N/A,TRUE,"EPN's 607, 608, 609, 610, 611";#N/A,#N/A,TRUE,"EPN 612";#N/A,#N/A,TRUE,"EPN 900"}</definedName>
    <definedName name="wrn.Fugitive._.Speciation." hidden="1">{"Speciation",#N/A,TRUE,"Speciation";"wastewater treatment",#N/A,TRUE,"Speciation"}</definedName>
    <definedName name="wrn.Fugitive._.VOCs." hidden="1">{"summary",#N/A,TRUE,"Fugitive VOC";"fugitives",#N/A,TRUE,"Fugitives";"facility fugitives",#N/A,TRUE,"Fugitive VOC";"compressor",#N/A,TRUE,"Fugitive VOC";"compressors",#N/A,TRUE,"Fugitive VOC";"cpi_separator",#N/A,TRUE,"Fugitive VOC";"blowdown",#N/A,TRUE,"Fugitive VOC";"waste treatment",#N/A,TRUE,"Fugitive VOC"}</definedName>
    <definedName name="wrn.heater._.summary." hidden="1">{#N/A,#N/A,FALSE,"Heater summary";#N/A,#N/A,FALSE,"H-101 Post";#N/A,#N/A,FALSE,"H-102 Post";#N/A,#N/A,FALSE,"SG-1101A Post";#N/A,#N/A,FALSE,"SG-1101B Post";#N/A,#N/A,FALSE,"H-501 Post"}</definedName>
    <definedName name="wrn.Input._.Section." hidden="1">{"Input Section",#N/A,FALSE,"TTU Summary"}</definedName>
    <definedName name="wrn.Instructions." hidden="1">{"Instructions",#N/A,FALSE,"TTU Summary"}</definedName>
    <definedName name="wrn.NSR._.Calculations._.Report." hidden="1">{#N/A,#N/A,FALSE,"PSD";"boiler criteria",#N/A,FALSE,"Boiler (T5)";"boiler toxic",#N/A,FALSE,"Boiler (T5)";#N/A,#N/A,FALSE,"Boiler (1994)";#N/A,#N/A,FALSE,"Boiler (1995)";#N/A,#N/A,FALSE,"Cyclones";"title v",#N/A,FALSE,"DRYERS1";"actual",#N/A,FALSE,"DRYERS1";"title v",#N/A,FALSE,"DRYERS2";"actual",#N/A,FALSE,"DRYERS2";#N/A,#N/A,FALSE,"Press"}</definedName>
    <definedName name="wrn.Output._.Reports." hidden="1">{"Total TTU Output",#N/A,FALSE,"TTU Summary";"B_68 OPN Output",#N/A,FALSE,"TTU Summary";"B_19 OPN Output",#N/A,FALSE,"TTU Summary"}</definedName>
    <definedName name="wrn.Permit._.Mod." hidden="1">{#N/A,#N/A,TRUE,"Title V Emission Summary";#N/A,#N/A,TRUE,"Title V Toxic Emissions Summary";#N/A,#N/A,TRUE,"Hogged Fuel Boiler (B1)";#N/A,#N/A,TRUE,"Hogged Fuel Boiler Toxics (B1)";#N/A,#N/A,TRUE,"Hogged Fuel Boiler (nat. gas)";#N/A,#N/A,TRUE,"Package Boiler (B2)";#N/A,#N/A,TRUE,"Cyclones (all)";#N/A,#N/A,TRUE,"Dryers (D1-D4)";#N/A,#N/A,TRUE,"Panel Assembly Fugitives (PAF)";#N/A,#N/A,TRUE,"Veneer Composer";#N/A,#N/A,TRUE,"Gasoline Tank";#N/A,#N/A,TRUE,"PA Modifications NSR (94-95)";#N/A,#N/A,TRUE,"Dryers NSR (94-95)";#N/A,#N/A,TRUE,"Cyclones (1994-1995)"}</definedName>
    <definedName name="wrn.Print._.All." hidden="1">{"Instructions",#N/A,FALSE,"TTU Summary";"Reporting Responsibilities",#N/A,FALSE,"TTU Summary";"Input Section",#N/A,FALSE,"TTU Summary";"Compositions",#N/A,FALSE,"TTU Summary";"Total TTU Output",#N/A,FALSE,"TTU Summary";"B_19 OPN Output",#N/A,FALSE,"TTU Summary";"B_68 OPN Output",#N/A,FALSE,"TTU Summary";"MAER Comparision",#N/A,FALSE,"TTU Summary"}</definedName>
    <definedName name="wrn.Print._.B19._.Detail." hidden="1">{"F210 detailed output",#N/A,FALSE,"F-210 TTU";"F11 detailed output",#N/A,FALSE,"F-11 TTU"}</definedName>
    <definedName name="wrn.Print._.B68._.Details." hidden="1">{"f-603 detailed output",#N/A,FALSE,"FTB-603 TTU";"f-2 detailed output",#N/A,FALSE,"F-2 TTU"}</definedName>
    <definedName name="wrn.r1." hidden="1">{"boiler",#N/A,TRUE,"Hogged Fuel Boiler (B1)";"boiltox",#N/A,TRUE,"Hogged Fuel Boiler (B1)";"natgas",#N/A,TRUE,"Nat. Gas Package Boiler (B2)";"cyclones",#N/A,TRUE,"Cyclones";"dryview1",#N/A,TRUE,"Dryers (1-4)";"dryview2",#N/A,TRUE,"Dryers (1-4)";"glue",#N/A,TRUE,"Press Vents (PV)";"vc",#N/A,TRUE,"Press Vents (PV)"}</definedName>
    <definedName name="wrn.report." hidden="1">{#N/A,#N/A,FALSE,"F1-Currrent";#N/A,#N/A,FALSE,"F2-Current";#N/A,#N/A,FALSE,"F2-Proposed";#N/A,#N/A,FALSE,"F3-Current";#N/A,#N/A,FALSE,"F4-Current";#N/A,#N/A,FALSE,"F4-Proposed";#N/A,#N/A,FALSE,"Controls"}</definedName>
    <definedName name="wrn.Reporting._.Responsibilites." hidden="1">{"Reporting Responsibilities",#N/A,FALSE,"TTU Summary"}</definedName>
    <definedName name="wrn.State._.Permit._.Modification." hidden="1">{"nsr",#N/A,FALSE,"NSR";"b1prop",#N/A,FALSE,"Boiler (B1) - Proposed";"b1_1994",#N/A,FALSE,"B1 - 1994,95";"b1_1995",#N/A,FALSE,"B1 - 1994,95";"b2_t5",#N/A,FALSE,"B2 - T5";"cyc_t5",#N/A,FALSE,"Cyclones - T5, 1994,95";"cyc_2yr",#N/A,FALSE,"Cyclones - T5, 1994,95";"dry_1",#N/A,FALSE,"Dryers - T5, 1994,95";"dry_1",#N/A,FALSE,"Dryers - 2 yr summary";"dry_2",#N/A,FALSE,"Dryers - 2 yr summary";"press_1",#N/A,FALSE,"Press Vents";"press_3",#N/A,FALSE,"Press Vents";"press_2",#N/A,FALSE,"Press Vents";"veneer",#N/A,FALSE,"Veneer Composers"}</definedName>
    <definedName name="wrn.Summary." hidden="1">{"CO",#N/A,FALSE,"Summary Sheet";"H2S",#N/A,FALSE,"Summary Sheet";"NOx",#N/A,FALSE,"Summary Sheet";"SO2",#N/A,FALSE,"Summary Sheet";"PM",#N/A,FALSE,"Summary Sheet";"TRS",#N/A,FALSE,"Summary Sheet";"VOCs",#N/A,FALSE,"Summary Sheet"}</definedName>
    <definedName name="wrn.T5COMBO._.Report." hidden="1">{#N/A,#N/A,FALSE,"Reconciled Quantified Sources";#N/A,#N/A,FALSE,"Source Group Splitting";#N/A,#N/A,FALSE,"CO";#N/A,#N/A,FALSE,"H2S";#N/A,#N/A,FALSE,"NOx";#N/A,#N/A,FALSE,"Other TRS";#N/A,#N/A,FALSE,"SO2";#N/A,#N/A,FALSE,"PM";#N/A,#N/A,FALSE,"VOC";#N/A,#N/A,FALSE,"Other Toxics"}</definedName>
    <definedName name="wrn.Title._.V._.Emissions._.Report." hidden="1">{#N/A,#N/A,FALSE,"Reconciled Sources";#N/A,#N/A,FALSE,"Process Rates";#N/A,#N/A,FALSE,"Emission Factors";#N/A,#N/A,FALSE,"Derived Emission Factors";#N/A,#N/A,FALSE,"Emission Summary";#N/A,#N/A,FALSE,"VOC Summary";#N/A,#N/A,FALSE,"Other Toxics";#N/A,#N/A,FALSE,"No. 20 Smelt Diss. Tank (04)";#N/A,#N/A,FALSE,"Lime Kiln (05)";#N/A,#N/A,FALSE,"No. 10c Hogged Fuel Boiler (06)";#N/A,#N/A,FALSE,"No. 20 Recovery Furnace (19,20)";#N/A,#N/A,FALSE,"No. 12 Hogged Fuel Boiler (21)";#N/A,#N/A,FALSE,"No. 21 Recovery Furnace (22)";#N/A,#N/A,FALSE,"No. 21 Smelt Diss. Tank (23)";#N/A,#N/A,FALSE,"No. 11 Package Boiler (24)";#N/A,#N/A,FALSE,"BLO Tanks (25)";#N/A,#N/A,FALSE,"Paper Machines (26)";#N/A,#N/A,FALSE,"Wastewater Treatment Sys. (27)";#N/A,#N/A,FALSE,"Batch Tall Oil Reactors (28)";#N/A,#N/A,FALSE,"Atm. Diff. Washer System (29)";#N/A,#N/A,FALSE,"Strong BL Storage Tanks (40)";#N/A,#N/A,FALSE,"Slaker-Causticizer System (43)";#N/A,#N/A,FALSE,"Green Liquor Clarifiers (44)";#N/A,#N/A,FALSE,"HD Pulp Storage Tanks (45)";#N/A,#N/A,FALSE,"Deckers (46)";#N/A,#N/A,FALSE,"Lime Mud Precoat Filter (47)";#N/A,#N/A,FALSE,"No. 20 Salt Cake Mix Tank (49)";#N/A,#N/A,FALSE,"No. 21 Salt Cake Mix Tank (50)";#N/A,#N/A,FALSE,"Semi-Chem Drum Washer Sys. (57)";#N/A,#N/A,FALSE,"Weak BL Storage Tanks (58)";#N/A,#N/A,FALSE,"Woodyard Sources (61)";#N/A,#N/A,FALSE,"Box Plant (65)";#N/A,#N/A,FALSE,"Pulp Mill Fugitives (66)";#N/A,#N/A,FALSE,"GC17"}</definedName>
    <definedName name="wrn.title5." hidden="1">{"crudeheater",#N/A,FALSE,"1-74";"bargedock",#N/A,FALSE,"17-74";"flare",#N/A,FALSE,"18-74";"fcccracker",#N/A,FALSE,"1-77";"vacuumheater",#N/A,FALSE,"2-77";"boilers",#N/A,FALSE,"4-77 &amp; 5-77";"sru",#N/A,FALSE,"6-77";"fug1",#N/A,FALSE,"1-81";"hotoil",#N/A,FALSE,"2-82";"fccu",#N/A,FALSE,"1-85";"refheater",#N/A,FALSE,"2-85";"vaporcom",#N/A,FALSE,"1-91";"chargeheat",#N/A,FALSE,"2-91";"strippreb",#N/A,FALSE,"3-91";"tanks",#N/A,FALSE,"Tanks";"tank941",#N/A,FALSE,"Tank 941";"toxics",#N/A,FALSE,"Speciations";"summary",#N/A,FALSE,"Summary"}</definedName>
    <definedName name="wrn.Toxic._.calculations." hidden="1">{"summary",#N/A,TRUE,"Summary";"vapor_wt_percent",#N/A,TRUE,"Vapor Weight"}</definedName>
    <definedName name="wrn.TTU._.Detail." hidden="1">{"B68 TTU Detail",#N/A,FALSE,"TTU Summary";"B19 TTU Detail",#N/A,FALSE,"TTU Summary"}</definedName>
    <definedName name="XSAIR">#REF!</definedName>
    <definedName name="Year">'[6]Drop-Down Box Data'!$A$55:$A$177</definedName>
    <definedName name="z1006760qry_rpt_qa_StreamCompositionTagCount">#REF!</definedName>
    <definedName name="z1006760RPT_Comp_Stream_Coun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 i="22" l="1"/>
  <c r="H13" i="20" l="1"/>
  <c r="I13" i="20" s="1"/>
  <c r="K22" i="22"/>
  <c r="I8" i="20"/>
  <c r="I9" i="20"/>
  <c r="I11" i="20"/>
  <c r="I12" i="20"/>
  <c r="I7" i="20"/>
  <c r="P8" i="22"/>
  <c r="P7" i="22"/>
  <c r="B16" i="8"/>
  <c r="E25" i="14" l="1"/>
  <c r="E24" i="14"/>
  <c r="E23" i="14"/>
  <c r="O34" i="14"/>
  <c r="F34" i="14"/>
  <c r="F33" i="14"/>
  <c r="N34" i="14" s="1"/>
  <c r="F32" i="14"/>
  <c r="F31" i="14"/>
  <c r="B10" i="14"/>
  <c r="D24" i="14" s="1"/>
  <c r="B9" i="14"/>
  <c r="D23" i="14" s="1"/>
  <c r="B11" i="14"/>
  <c r="D25" i="14" s="1"/>
  <c r="B9" i="8"/>
  <c r="V31" i="13"/>
  <c r="G25" i="14" l="1"/>
  <c r="G24" i="14"/>
  <c r="G23" i="14"/>
  <c r="E8" i="22"/>
  <c r="D8" i="22"/>
  <c r="E7" i="22" l="1"/>
  <c r="N9" i="22"/>
  <c r="K9" i="22"/>
  <c r="M9" i="22" s="1"/>
  <c r="N8" i="22"/>
  <c r="K8" i="22"/>
  <c r="M8" i="22" s="1"/>
  <c r="N7" i="22"/>
  <c r="K7" i="22"/>
  <c r="R26" i="13"/>
  <c r="R24" i="13"/>
  <c r="R23" i="13"/>
  <c r="R22" i="13"/>
  <c r="F24" i="13"/>
  <c r="F25" i="13"/>
  <c r="F26" i="13"/>
  <c r="F27" i="13"/>
  <c r="F23" i="13"/>
  <c r="F22" i="13"/>
  <c r="I18" i="13"/>
  <c r="C25" i="14"/>
  <c r="H25" i="14" s="1"/>
  <c r="C24" i="14"/>
  <c r="H24" i="14" s="1"/>
  <c r="C23" i="14"/>
  <c r="H23" i="14" s="1"/>
  <c r="F85" i="13"/>
  <c r="O8" i="22" l="1"/>
  <c r="M7" i="22"/>
  <c r="O7" i="22" s="1"/>
  <c r="D18" i="22" s="1"/>
  <c r="O9" i="22"/>
  <c r="O10" i="22" s="1"/>
  <c r="Q8" i="22"/>
  <c r="E13" i="20"/>
  <c r="D22" i="22" l="1"/>
  <c r="P9" i="22"/>
  <c r="E21" i="22"/>
  <c r="H21" i="22" s="1"/>
  <c r="E19" i="22"/>
  <c r="F21" i="22"/>
  <c r="F19" i="22"/>
  <c r="D19" i="22"/>
  <c r="D20" i="22" s="1"/>
  <c r="D21" i="22"/>
  <c r="Q9" i="22"/>
  <c r="E18" i="22"/>
  <c r="Q7" i="22"/>
  <c r="F18" i="22" s="1"/>
  <c r="F20" i="22" s="1"/>
  <c r="R8" i="22"/>
  <c r="T28" i="13"/>
  <c r="U28" i="13"/>
  <c r="T29" i="13"/>
  <c r="M30" i="13"/>
  <c r="N30" i="13" s="1"/>
  <c r="Q30" i="13" s="1"/>
  <c r="S30" i="13" s="1"/>
  <c r="F30" i="13"/>
  <c r="J30" i="13" s="1"/>
  <c r="D29" i="8"/>
  <c r="F29" i="8" s="1"/>
  <c r="D30" i="8"/>
  <c r="F30" i="8" s="1"/>
  <c r="D31" i="8"/>
  <c r="F31" i="8" s="1"/>
  <c r="D28" i="8"/>
  <c r="F28" i="8" s="1"/>
  <c r="C21" i="8"/>
  <c r="D21" i="8" s="1"/>
  <c r="G10" i="20" s="1"/>
  <c r="E22" i="22" l="1"/>
  <c r="H22" i="22" s="1"/>
  <c r="H23" i="22" s="1"/>
  <c r="P10" i="22"/>
  <c r="F22" i="22"/>
  <c r="Q10" i="22"/>
  <c r="E20" i="22"/>
  <c r="H20" i="22" s="1"/>
  <c r="R7" i="22"/>
  <c r="G19" i="22"/>
  <c r="G21" i="22"/>
  <c r="I21" i="22" s="1"/>
  <c r="R9" i="22"/>
  <c r="G18" i="22"/>
  <c r="U30" i="13"/>
  <c r="U29" i="13"/>
  <c r="G22" i="22" l="1"/>
  <c r="I22" i="22" s="1"/>
  <c r="I23" i="22" s="1"/>
  <c r="H14" i="20" s="1"/>
  <c r="I14" i="20" s="1"/>
  <c r="R10" i="22"/>
  <c r="H10" i="20" s="1"/>
  <c r="I10" i="20" s="1"/>
  <c r="G20" i="22"/>
  <c r="I20" i="22" s="1"/>
  <c r="T30" i="13"/>
  <c r="M35" i="13"/>
  <c r="N35" i="13" s="1"/>
  <c r="Q35" i="13" s="1"/>
  <c r="F35" i="13"/>
  <c r="J35" i="13" s="1"/>
  <c r="S35" i="13" l="1"/>
  <c r="I83" i="13"/>
  <c r="E31" i="14"/>
  <c r="E32" i="14"/>
  <c r="E33" i="14" s="1"/>
  <c r="E34" i="14"/>
  <c r="G34" i="14" s="1"/>
  <c r="P85" i="13" s="1"/>
  <c r="S84" i="13" s="1"/>
  <c r="M83" i="13"/>
  <c r="M84" i="13"/>
  <c r="I84" i="13"/>
  <c r="I82" i="13"/>
  <c r="M82" i="13"/>
  <c r="J22" i="13"/>
  <c r="S22" i="13" s="1"/>
  <c r="M23" i="13"/>
  <c r="N23" i="13" s="1"/>
  <c r="Q23" i="13" s="1"/>
  <c r="M24" i="13"/>
  <c r="N24" i="13" s="1"/>
  <c r="Q24" i="13" s="1"/>
  <c r="M25" i="13"/>
  <c r="N25" i="13" s="1"/>
  <c r="Q25" i="13" s="1"/>
  <c r="M26" i="13"/>
  <c r="N26" i="13" s="1"/>
  <c r="Q26" i="13" s="1"/>
  <c r="M27" i="13"/>
  <c r="N27" i="13" s="1"/>
  <c r="Q27" i="13" s="1"/>
  <c r="M22" i="13"/>
  <c r="N22" i="13" s="1"/>
  <c r="Q22" i="13" s="1"/>
  <c r="J24" i="13"/>
  <c r="J25" i="13"/>
  <c r="J26" i="13"/>
  <c r="J27" i="13"/>
  <c r="S27" i="13" s="1"/>
  <c r="J23" i="13"/>
  <c r="B19" i="9"/>
  <c r="B19" i="11"/>
  <c r="E203" i="9"/>
  <c r="E202" i="9"/>
  <c r="E201" i="9"/>
  <c r="E200" i="9"/>
  <c r="E199" i="9"/>
  <c r="E198" i="9"/>
  <c r="E197" i="9"/>
  <c r="E196" i="9"/>
  <c r="E194" i="9"/>
  <c r="E193" i="9"/>
  <c r="E192" i="9"/>
  <c r="F216" i="9" s="1"/>
  <c r="E190" i="9"/>
  <c r="B189" i="9"/>
  <c r="E189" i="9" s="1"/>
  <c r="E216" i="9" s="1"/>
  <c r="B188" i="9"/>
  <c r="E188" i="9" s="1"/>
  <c r="D216" i="9" s="1"/>
  <c r="B187" i="9"/>
  <c r="E187" i="9" s="1"/>
  <c r="C216" i="9" s="1"/>
  <c r="B186" i="9"/>
  <c r="E186" i="9" s="1"/>
  <c r="B216" i="9" s="1"/>
  <c r="B185" i="9"/>
  <c r="E185" i="9" s="1"/>
  <c r="A216" i="9" s="1"/>
  <c r="E164" i="9"/>
  <c r="D164" i="9"/>
  <c r="C164" i="9"/>
  <c r="B164" i="9"/>
  <c r="A164" i="9"/>
  <c r="E151" i="9"/>
  <c r="E150" i="9"/>
  <c r="E149" i="9"/>
  <c r="E148" i="9"/>
  <c r="E147" i="9"/>
  <c r="G146" i="9"/>
  <c r="E146" i="9"/>
  <c r="E145" i="9"/>
  <c r="E144" i="9"/>
  <c r="E152" i="9" s="1"/>
  <c r="G164" i="9" s="1"/>
  <c r="E142" i="9"/>
  <c r="E141" i="9"/>
  <c r="E140" i="9"/>
  <c r="G142" i="9" s="1"/>
  <c r="G143" i="9" s="1"/>
  <c r="E206" i="11"/>
  <c r="E205" i="11"/>
  <c r="E204" i="11"/>
  <c r="E203" i="11"/>
  <c r="E202" i="11"/>
  <c r="E201" i="11"/>
  <c r="E200" i="11"/>
  <c r="E199" i="11"/>
  <c r="E197" i="11"/>
  <c r="E196" i="11"/>
  <c r="E195" i="11"/>
  <c r="G219" i="11" s="1"/>
  <c r="E193" i="11"/>
  <c r="B192" i="11"/>
  <c r="E192" i="11" s="1"/>
  <c r="E219" i="11" s="1"/>
  <c r="B191" i="11"/>
  <c r="E191" i="11" s="1"/>
  <c r="D219" i="11" s="1"/>
  <c r="B190" i="11"/>
  <c r="E190" i="11" s="1"/>
  <c r="C219" i="11" s="1"/>
  <c r="B189" i="11"/>
  <c r="E189" i="11" s="1"/>
  <c r="B219" i="11" s="1"/>
  <c r="B188" i="11"/>
  <c r="E188" i="11" s="1"/>
  <c r="A219" i="11" s="1"/>
  <c r="E167" i="11"/>
  <c r="D167" i="11"/>
  <c r="C167" i="11"/>
  <c r="B167" i="11"/>
  <c r="A167" i="11"/>
  <c r="E154" i="11"/>
  <c r="E153" i="11"/>
  <c r="E152" i="11"/>
  <c r="E151" i="11"/>
  <c r="E150" i="11"/>
  <c r="H149" i="11"/>
  <c r="E149" i="11"/>
  <c r="E148" i="11"/>
  <c r="E147" i="11"/>
  <c r="E155" i="11" s="1"/>
  <c r="H167" i="11" s="1"/>
  <c r="E145" i="11"/>
  <c r="E144" i="11"/>
  <c r="E143" i="11"/>
  <c r="H145" i="11" s="1"/>
  <c r="H146" i="11" s="1"/>
  <c r="E203" i="10"/>
  <c r="E202" i="10"/>
  <c r="E201" i="10"/>
  <c r="E200" i="10"/>
  <c r="E199" i="10"/>
  <c r="E198" i="10"/>
  <c r="E197" i="10"/>
  <c r="E196" i="10"/>
  <c r="E204" i="10" s="1"/>
  <c r="G216" i="10" s="1"/>
  <c r="E194" i="10"/>
  <c r="E193" i="10"/>
  <c r="E192" i="10"/>
  <c r="F216" i="10" s="1"/>
  <c r="E190" i="10"/>
  <c r="B189" i="10"/>
  <c r="E189" i="10" s="1"/>
  <c r="E216" i="10" s="1"/>
  <c r="B188" i="10"/>
  <c r="E188" i="10" s="1"/>
  <c r="D216" i="10" s="1"/>
  <c r="B187" i="10"/>
  <c r="E187" i="10" s="1"/>
  <c r="C216" i="10" s="1"/>
  <c r="B186" i="10"/>
  <c r="E186" i="10" s="1"/>
  <c r="B216" i="10" s="1"/>
  <c r="B185" i="10"/>
  <c r="E185" i="10" s="1"/>
  <c r="A216" i="10" s="1"/>
  <c r="E164" i="10"/>
  <c r="D164" i="10"/>
  <c r="C164" i="10"/>
  <c r="B164" i="10"/>
  <c r="A164" i="10"/>
  <c r="E151" i="10"/>
  <c r="E150" i="10"/>
  <c r="E149" i="10"/>
  <c r="E148" i="10"/>
  <c r="E147" i="10"/>
  <c r="G146" i="10"/>
  <c r="E146" i="10"/>
  <c r="E145" i="10"/>
  <c r="E144" i="10"/>
  <c r="E152" i="10" s="1"/>
  <c r="G164" i="10" s="1"/>
  <c r="E142" i="10"/>
  <c r="E141" i="10"/>
  <c r="E140" i="10"/>
  <c r="G142" i="10" s="1"/>
  <c r="G143" i="10" s="1"/>
  <c r="S23" i="13" l="1"/>
  <c r="S26" i="13"/>
  <c r="S25" i="13"/>
  <c r="S24" i="13"/>
  <c r="I25" i="14"/>
  <c r="E204" i="9"/>
  <c r="G216" i="9" s="1"/>
  <c r="E207" i="11"/>
  <c r="H219" i="11" s="1"/>
  <c r="N82" i="13"/>
  <c r="U35" i="13"/>
  <c r="T35" i="13"/>
  <c r="U22" i="13"/>
  <c r="Q85" i="13"/>
  <c r="N84" i="13"/>
  <c r="O84" i="13" s="1"/>
  <c r="N83" i="13"/>
  <c r="O83" i="13" s="1"/>
  <c r="G31" i="14"/>
  <c r="D64" i="9"/>
  <c r="F64" i="9" s="1"/>
  <c r="D63" i="9"/>
  <c r="F63" i="9" s="1"/>
  <c r="D62" i="9"/>
  <c r="F62" i="9" s="1"/>
  <c r="D61" i="9"/>
  <c r="F61" i="9" s="1"/>
  <c r="D60" i="9"/>
  <c r="F60" i="9" s="1"/>
  <c r="D59" i="9"/>
  <c r="F59" i="9" s="1"/>
  <c r="D58" i="9"/>
  <c r="F58" i="9" s="1"/>
  <c r="D57" i="9"/>
  <c r="F57" i="9" s="1"/>
  <c r="D56" i="9"/>
  <c r="F56" i="9" s="1"/>
  <c r="D55" i="9"/>
  <c r="F55" i="9" s="1"/>
  <c r="D54" i="9"/>
  <c r="F54" i="9" s="1"/>
  <c r="D53" i="9"/>
  <c r="F53" i="9" s="1"/>
  <c r="D52" i="9"/>
  <c r="F52" i="9" s="1"/>
  <c r="D51" i="9"/>
  <c r="F51" i="9" s="1"/>
  <c r="D50" i="9"/>
  <c r="F50" i="9" s="1"/>
  <c r="D49" i="9"/>
  <c r="F49" i="9" s="1"/>
  <c r="D48" i="9"/>
  <c r="F48" i="9" s="1"/>
  <c r="D47" i="9"/>
  <c r="F47" i="9" s="1"/>
  <c r="D46" i="9"/>
  <c r="F46" i="9" s="1"/>
  <c r="D45" i="9"/>
  <c r="F45" i="9" s="1"/>
  <c r="D44" i="9"/>
  <c r="F44" i="9" s="1"/>
  <c r="D43" i="9"/>
  <c r="F43" i="9" s="1"/>
  <c r="D42" i="9"/>
  <c r="F42" i="9" s="1"/>
  <c r="D41" i="9"/>
  <c r="F41" i="9" s="1"/>
  <c r="D40" i="9"/>
  <c r="F40" i="9" s="1"/>
  <c r="D39" i="9"/>
  <c r="F39" i="9" s="1"/>
  <c r="D38" i="9"/>
  <c r="F164" i="9"/>
  <c r="B12" i="9"/>
  <c r="D67" i="11"/>
  <c r="G67" i="11" s="1"/>
  <c r="D62" i="11"/>
  <c r="G62" i="11" s="1"/>
  <c r="D60" i="11"/>
  <c r="G60" i="11" s="1"/>
  <c r="D57" i="11"/>
  <c r="G57" i="11" s="1"/>
  <c r="D53" i="11"/>
  <c r="G53" i="11" s="1"/>
  <c r="D50" i="11"/>
  <c r="G50" i="11" s="1"/>
  <c r="D45" i="11"/>
  <c r="G45" i="11" s="1"/>
  <c r="D42" i="11"/>
  <c r="G42" i="11" s="1"/>
  <c r="D65" i="11"/>
  <c r="G65" i="11" s="1"/>
  <c r="D63" i="11"/>
  <c r="G63" i="11" s="1"/>
  <c r="D59" i="11"/>
  <c r="G59" i="11" s="1"/>
  <c r="D55" i="11"/>
  <c r="G55" i="11" s="1"/>
  <c r="D52" i="11"/>
  <c r="G52" i="11" s="1"/>
  <c r="D49" i="11"/>
  <c r="G49" i="11" s="1"/>
  <c r="D46" i="11"/>
  <c r="G46" i="11" s="1"/>
  <c r="D41" i="11"/>
  <c r="D66" i="11"/>
  <c r="G66" i="11" s="1"/>
  <c r="D64" i="11"/>
  <c r="G64" i="11" s="1"/>
  <c r="D61" i="11"/>
  <c r="G61" i="11" s="1"/>
  <c r="D58" i="11"/>
  <c r="G58" i="11" s="1"/>
  <c r="D56" i="11"/>
  <c r="G56" i="11" s="1"/>
  <c r="D54" i="11"/>
  <c r="G54" i="11" s="1"/>
  <c r="D51" i="11"/>
  <c r="G51" i="11" s="1"/>
  <c r="D48" i="11"/>
  <c r="G48" i="11" s="1"/>
  <c r="D47" i="11"/>
  <c r="G47" i="11" s="1"/>
  <c r="D44" i="11"/>
  <c r="G44" i="11" s="1"/>
  <c r="D43" i="11"/>
  <c r="G43" i="11" s="1"/>
  <c r="B12" i="11"/>
  <c r="G167" i="11"/>
  <c r="F164" i="10"/>
  <c r="B10" i="8"/>
  <c r="F170" i="8"/>
  <c r="F169" i="8"/>
  <c r="F168" i="8"/>
  <c r="F167" i="8"/>
  <c r="F166" i="8"/>
  <c r="F165" i="8"/>
  <c r="F164" i="8"/>
  <c r="F163" i="8"/>
  <c r="F161" i="8"/>
  <c r="F160" i="8"/>
  <c r="F159" i="8"/>
  <c r="F157" i="8"/>
  <c r="B156" i="8"/>
  <c r="F156" i="8" s="1"/>
  <c r="F183" i="8" s="1"/>
  <c r="B155" i="8"/>
  <c r="F155" i="8" s="1"/>
  <c r="E183" i="8" s="1"/>
  <c r="B154" i="8"/>
  <c r="F154" i="8" s="1"/>
  <c r="C183" i="8" s="1"/>
  <c r="B153" i="8"/>
  <c r="F153" i="8" s="1"/>
  <c r="B183" i="8" s="1"/>
  <c r="B152" i="8"/>
  <c r="F152" i="8" s="1"/>
  <c r="A183" i="8" s="1"/>
  <c r="F131" i="8"/>
  <c r="E131" i="8"/>
  <c r="C131" i="8"/>
  <c r="B131" i="8"/>
  <c r="A131" i="8"/>
  <c r="F118" i="8"/>
  <c r="F117" i="8"/>
  <c r="F116" i="8"/>
  <c r="F115" i="8"/>
  <c r="F114" i="8"/>
  <c r="H113" i="8"/>
  <c r="F113" i="8"/>
  <c r="F112" i="8"/>
  <c r="F111" i="8"/>
  <c r="F119" i="8" s="1"/>
  <c r="H131" i="8" s="1"/>
  <c r="F109" i="8"/>
  <c r="F108" i="8"/>
  <c r="F107" i="8"/>
  <c r="H109" i="8" s="1"/>
  <c r="H110" i="8" s="1"/>
  <c r="E29" i="8" l="1"/>
  <c r="E30" i="8"/>
  <c r="E31" i="8"/>
  <c r="E28" i="8"/>
  <c r="U23" i="13"/>
  <c r="T23" i="13"/>
  <c r="U27" i="13"/>
  <c r="F13" i="20" s="1"/>
  <c r="T27" i="13"/>
  <c r="U26" i="13"/>
  <c r="T26" i="13"/>
  <c r="U24" i="13"/>
  <c r="T24" i="13"/>
  <c r="U25" i="13"/>
  <c r="T25" i="13"/>
  <c r="T22" i="13"/>
  <c r="S31" i="13"/>
  <c r="Q84" i="13"/>
  <c r="T84" i="13" s="1"/>
  <c r="P84" i="13"/>
  <c r="Q83" i="13"/>
  <c r="P83" i="13"/>
  <c r="G32" i="14"/>
  <c r="G33" i="14"/>
  <c r="O82" i="13"/>
  <c r="I24" i="14"/>
  <c r="F38" i="9"/>
  <c r="F65" i="9" s="1"/>
  <c r="D65" i="9"/>
  <c r="B17" i="9"/>
  <c r="C32" i="9" s="1"/>
  <c r="D12" i="20" s="1"/>
  <c r="B13" i="9"/>
  <c r="B18" i="9" s="1"/>
  <c r="B17" i="11"/>
  <c r="C35" i="11" s="1"/>
  <c r="C12" i="20" s="1"/>
  <c r="B13" i="11"/>
  <c r="B18" i="11" s="1"/>
  <c r="G41" i="11"/>
  <c r="G68" i="11" s="1"/>
  <c r="D68" i="11"/>
  <c r="G183" i="8"/>
  <c r="F171" i="8"/>
  <c r="H183" i="8" s="1"/>
  <c r="G131" i="8"/>
  <c r="G35" i="14" l="1"/>
  <c r="X26" i="13"/>
  <c r="W26" i="13"/>
  <c r="U31" i="13"/>
  <c r="T31" i="13"/>
  <c r="Q82" i="13"/>
  <c r="Q86" i="13" s="1"/>
  <c r="F14" i="20" s="1"/>
  <c r="P82" i="13"/>
  <c r="P86" i="13" s="1"/>
  <c r="C24" i="9"/>
  <c r="D8" i="20" s="1"/>
  <c r="C27" i="9"/>
  <c r="D11" i="20" s="1"/>
  <c r="C23" i="9"/>
  <c r="D7" i="20" s="1"/>
  <c r="E64" i="9"/>
  <c r="G64" i="9" s="1"/>
  <c r="E63" i="9"/>
  <c r="G63" i="9" s="1"/>
  <c r="E62" i="9"/>
  <c r="G62" i="9" s="1"/>
  <c r="E61" i="9"/>
  <c r="G61" i="9" s="1"/>
  <c r="E60" i="9"/>
  <c r="G60" i="9" s="1"/>
  <c r="E59" i="9"/>
  <c r="G59" i="9" s="1"/>
  <c r="E58" i="9"/>
  <c r="G58" i="9" s="1"/>
  <c r="E57" i="9"/>
  <c r="G57" i="9" s="1"/>
  <c r="E56" i="9"/>
  <c r="G56" i="9" s="1"/>
  <c r="E55" i="9"/>
  <c r="G55" i="9" s="1"/>
  <c r="E54" i="9"/>
  <c r="G54" i="9" s="1"/>
  <c r="E53" i="9"/>
  <c r="G53" i="9" s="1"/>
  <c r="E52" i="9"/>
  <c r="G52" i="9" s="1"/>
  <c r="E51" i="9"/>
  <c r="G51" i="9" s="1"/>
  <c r="E50" i="9"/>
  <c r="G50" i="9" s="1"/>
  <c r="E49" i="9"/>
  <c r="G49" i="9" s="1"/>
  <c r="E48" i="9"/>
  <c r="G48" i="9" s="1"/>
  <c r="E47" i="9"/>
  <c r="G47" i="9" s="1"/>
  <c r="E46" i="9"/>
  <c r="G46" i="9" s="1"/>
  <c r="E45" i="9"/>
  <c r="G45" i="9" s="1"/>
  <c r="E44" i="9"/>
  <c r="G44" i="9" s="1"/>
  <c r="E43" i="9"/>
  <c r="G43" i="9" s="1"/>
  <c r="E42" i="9"/>
  <c r="G42" i="9" s="1"/>
  <c r="E41" i="9"/>
  <c r="G41" i="9" s="1"/>
  <c r="E40" i="9"/>
  <c r="G40" i="9" s="1"/>
  <c r="E39" i="9"/>
  <c r="G39" i="9" s="1"/>
  <c r="E38" i="9"/>
  <c r="C26" i="9"/>
  <c r="D10" i="20" s="1"/>
  <c r="C25" i="9"/>
  <c r="D9" i="20" s="1"/>
  <c r="C26" i="11"/>
  <c r="C8" i="20" s="1"/>
  <c r="C29" i="11"/>
  <c r="C11" i="20" s="1"/>
  <c r="C25" i="11"/>
  <c r="C7" i="20" s="1"/>
  <c r="E67" i="11"/>
  <c r="H67" i="11" s="1"/>
  <c r="E66" i="11"/>
  <c r="H66" i="11" s="1"/>
  <c r="E65" i="11"/>
  <c r="H65" i="11" s="1"/>
  <c r="E64" i="11"/>
  <c r="H64" i="11" s="1"/>
  <c r="E63" i="11"/>
  <c r="H63" i="11" s="1"/>
  <c r="E62" i="11"/>
  <c r="H62" i="11" s="1"/>
  <c r="E61" i="11"/>
  <c r="H61" i="11" s="1"/>
  <c r="E60" i="11"/>
  <c r="H60" i="11" s="1"/>
  <c r="E59" i="11"/>
  <c r="H59" i="11" s="1"/>
  <c r="E58" i="11"/>
  <c r="H58" i="11" s="1"/>
  <c r="E57" i="11"/>
  <c r="H57" i="11" s="1"/>
  <c r="E56" i="11"/>
  <c r="H56" i="11" s="1"/>
  <c r="E55" i="11"/>
  <c r="H55" i="11" s="1"/>
  <c r="E54" i="11"/>
  <c r="H54" i="11" s="1"/>
  <c r="E53" i="11"/>
  <c r="H53" i="11" s="1"/>
  <c r="E52" i="11"/>
  <c r="H52" i="11" s="1"/>
  <c r="E51" i="11"/>
  <c r="H51" i="11" s="1"/>
  <c r="E50" i="11"/>
  <c r="H50" i="11" s="1"/>
  <c r="E49" i="11"/>
  <c r="H49" i="11" s="1"/>
  <c r="E48" i="11"/>
  <c r="H48" i="11" s="1"/>
  <c r="E47" i="11"/>
  <c r="H47" i="11" s="1"/>
  <c r="E46" i="11"/>
  <c r="H46" i="11" s="1"/>
  <c r="E45" i="11"/>
  <c r="H45" i="11" s="1"/>
  <c r="E44" i="11"/>
  <c r="H44" i="11" s="1"/>
  <c r="E43" i="11"/>
  <c r="H43" i="11" s="1"/>
  <c r="E42" i="11"/>
  <c r="H42" i="11" s="1"/>
  <c r="E41" i="11"/>
  <c r="C28" i="11"/>
  <c r="C10" i="20" s="1"/>
  <c r="C27" i="11"/>
  <c r="C9" i="20" s="1"/>
  <c r="E32" i="8"/>
  <c r="E14" i="20" l="1"/>
  <c r="F35" i="14"/>
  <c r="G38" i="9"/>
  <c r="G65" i="9" s="1"/>
  <c r="E65" i="9"/>
  <c r="H41" i="11"/>
  <c r="H68" i="11" s="1"/>
  <c r="E68" i="11"/>
  <c r="F32" i="8"/>
  <c r="H32" i="8" l="1"/>
  <c r="G13" i="20" s="1"/>
  <c r="G14" i="20"/>
  <c r="D14" i="20"/>
  <c r="I65" i="9"/>
  <c r="D13" i="20" s="1"/>
  <c r="J68" i="11"/>
  <c r="C13" i="20" s="1"/>
  <c r="C14" i="20"/>
  <c r="B12" i="5"/>
  <c r="B17" i="5" s="1"/>
  <c r="B19" i="6"/>
  <c r="D53" i="6" s="1"/>
  <c r="F53" i="6" s="1"/>
  <c r="E203" i="7"/>
  <c r="E202" i="7"/>
  <c r="E201" i="7"/>
  <c r="E200" i="7"/>
  <c r="E199" i="7"/>
  <c r="E198" i="7"/>
  <c r="E197" i="7"/>
  <c r="E196" i="7"/>
  <c r="E204" i="7" s="1"/>
  <c r="G216" i="7" s="1"/>
  <c r="E194" i="7"/>
  <c r="E193" i="7"/>
  <c r="E192" i="7"/>
  <c r="F216" i="7" s="1"/>
  <c r="E190" i="7"/>
  <c r="B189" i="7"/>
  <c r="E189" i="7" s="1"/>
  <c r="E216" i="7" s="1"/>
  <c r="B188" i="7"/>
  <c r="E188" i="7" s="1"/>
  <c r="D216" i="7" s="1"/>
  <c r="B187" i="7"/>
  <c r="E187" i="7" s="1"/>
  <c r="C216" i="7" s="1"/>
  <c r="B186" i="7"/>
  <c r="E186" i="7" s="1"/>
  <c r="B216" i="7" s="1"/>
  <c r="B185" i="7"/>
  <c r="E185" i="7" s="1"/>
  <c r="A216" i="7" s="1"/>
  <c r="E164" i="7"/>
  <c r="D164" i="7"/>
  <c r="C164" i="7"/>
  <c r="B164" i="7"/>
  <c r="A164" i="7"/>
  <c r="E151" i="7"/>
  <c r="E150" i="7"/>
  <c r="E149" i="7"/>
  <c r="E148" i="7"/>
  <c r="E147" i="7"/>
  <c r="G146" i="7"/>
  <c r="E146" i="7"/>
  <c r="E145" i="7"/>
  <c r="E144" i="7"/>
  <c r="E152" i="7" s="1"/>
  <c r="G164" i="7" s="1"/>
  <c r="E142" i="7"/>
  <c r="E141" i="7"/>
  <c r="E140" i="7"/>
  <c r="G142" i="7" s="1"/>
  <c r="G143" i="7" s="1"/>
  <c r="B19" i="7"/>
  <c r="D41" i="7" s="1"/>
  <c r="F41" i="7" s="1"/>
  <c r="B12" i="7"/>
  <c r="B17" i="7" s="1"/>
  <c r="C32" i="7" s="1"/>
  <c r="F29" i="20" s="1"/>
  <c r="E203" i="6"/>
  <c r="E202" i="6"/>
  <c r="E201" i="6"/>
  <c r="E200" i="6"/>
  <c r="E199" i="6"/>
  <c r="E198" i="6"/>
  <c r="E197" i="6"/>
  <c r="E196" i="6"/>
  <c r="E194" i="6"/>
  <c r="E193" i="6"/>
  <c r="E192" i="6"/>
  <c r="F216" i="6" s="1"/>
  <c r="E190" i="6"/>
  <c r="B189" i="6"/>
  <c r="E189" i="6" s="1"/>
  <c r="E216" i="6" s="1"/>
  <c r="B188" i="6"/>
  <c r="E188" i="6" s="1"/>
  <c r="D216" i="6" s="1"/>
  <c r="B187" i="6"/>
  <c r="E187" i="6" s="1"/>
  <c r="C216" i="6" s="1"/>
  <c r="B186" i="6"/>
  <c r="E186" i="6" s="1"/>
  <c r="B216" i="6" s="1"/>
  <c r="B185" i="6"/>
  <c r="E185" i="6" s="1"/>
  <c r="A216" i="6" s="1"/>
  <c r="F164" i="6"/>
  <c r="E164" i="6"/>
  <c r="D164" i="6"/>
  <c r="C164" i="6"/>
  <c r="B164" i="6"/>
  <c r="A164" i="6"/>
  <c r="E151" i="6"/>
  <c r="E150" i="6"/>
  <c r="E149" i="6"/>
  <c r="E148" i="6"/>
  <c r="E147" i="6"/>
  <c r="G146" i="6"/>
  <c r="E146" i="6"/>
  <c r="E145" i="6"/>
  <c r="E144" i="6"/>
  <c r="E152" i="6" s="1"/>
  <c r="G164" i="6" s="1"/>
  <c r="E142" i="6"/>
  <c r="E141" i="6"/>
  <c r="E140" i="6"/>
  <c r="G142" i="6" s="1"/>
  <c r="G143" i="6" s="1"/>
  <c r="E203" i="5"/>
  <c r="E202" i="5"/>
  <c r="E201" i="5"/>
  <c r="E200" i="5"/>
  <c r="E199" i="5"/>
  <c r="E198" i="5"/>
  <c r="E197" i="5"/>
  <c r="E196" i="5"/>
  <c r="E194" i="5"/>
  <c r="E193" i="5"/>
  <c r="E192" i="5"/>
  <c r="E190" i="5"/>
  <c r="B189" i="5"/>
  <c r="E189" i="5" s="1"/>
  <c r="E216" i="5" s="1"/>
  <c r="B188" i="5"/>
  <c r="E188" i="5" s="1"/>
  <c r="D216" i="5" s="1"/>
  <c r="B187" i="5"/>
  <c r="E187" i="5" s="1"/>
  <c r="C216" i="5" s="1"/>
  <c r="B186" i="5"/>
  <c r="E186" i="5" s="1"/>
  <c r="B216" i="5" s="1"/>
  <c r="B185" i="5"/>
  <c r="E185" i="5" s="1"/>
  <c r="A216" i="5" s="1"/>
  <c r="E164" i="5"/>
  <c r="D164" i="5"/>
  <c r="C164" i="5"/>
  <c r="B164" i="5"/>
  <c r="A164" i="5"/>
  <c r="E151" i="5"/>
  <c r="E150" i="5"/>
  <c r="E149" i="5"/>
  <c r="E148" i="5"/>
  <c r="E147" i="5"/>
  <c r="G146" i="5"/>
  <c r="E146" i="5"/>
  <c r="E145" i="5"/>
  <c r="E144" i="5"/>
  <c r="E152" i="5" s="1"/>
  <c r="G164" i="5" s="1"/>
  <c r="E142" i="5"/>
  <c r="E141" i="5"/>
  <c r="E140" i="5"/>
  <c r="G142" i="5" s="1"/>
  <c r="G143" i="5" s="1"/>
  <c r="E204" i="5" l="1"/>
  <c r="G216" i="5" s="1"/>
  <c r="E204" i="6"/>
  <c r="G216" i="6" s="1"/>
  <c r="N41" i="7"/>
  <c r="K41" i="7"/>
  <c r="Q41" i="7"/>
  <c r="F164" i="7"/>
  <c r="B19" i="5"/>
  <c r="D39" i="5" s="1"/>
  <c r="F39" i="5" s="1"/>
  <c r="B12" i="6"/>
  <c r="B13" i="6" s="1"/>
  <c r="B18" i="6" s="1"/>
  <c r="E49" i="6" s="1"/>
  <c r="G49" i="6" s="1"/>
  <c r="D39" i="7"/>
  <c r="F39" i="7" s="1"/>
  <c r="D43" i="7"/>
  <c r="F43" i="7" s="1"/>
  <c r="D47" i="7"/>
  <c r="F47" i="7" s="1"/>
  <c r="D51" i="7"/>
  <c r="F51" i="7" s="1"/>
  <c r="D55" i="7"/>
  <c r="F55" i="7" s="1"/>
  <c r="D59" i="7"/>
  <c r="F59" i="7" s="1"/>
  <c r="D63" i="7"/>
  <c r="F63" i="7" s="1"/>
  <c r="B13" i="7"/>
  <c r="B18" i="7" s="1"/>
  <c r="D40" i="7"/>
  <c r="F40" i="7" s="1"/>
  <c r="D48" i="7"/>
  <c r="F48" i="7" s="1"/>
  <c r="D52" i="7"/>
  <c r="F52" i="7" s="1"/>
  <c r="D56" i="7"/>
  <c r="F56" i="7" s="1"/>
  <c r="D60" i="7"/>
  <c r="F60" i="7" s="1"/>
  <c r="D64" i="7"/>
  <c r="F64" i="7" s="1"/>
  <c r="D44" i="7"/>
  <c r="F44" i="7" s="1"/>
  <c r="D49" i="7"/>
  <c r="F49" i="7" s="1"/>
  <c r="D53" i="7"/>
  <c r="F53" i="7" s="1"/>
  <c r="D57" i="7"/>
  <c r="F57" i="7" s="1"/>
  <c r="D61" i="7"/>
  <c r="F61" i="7" s="1"/>
  <c r="D38" i="7"/>
  <c r="D42" i="7"/>
  <c r="F42" i="7" s="1"/>
  <c r="D46" i="7"/>
  <c r="F46" i="7" s="1"/>
  <c r="D50" i="7"/>
  <c r="F50" i="7" s="1"/>
  <c r="D54" i="7"/>
  <c r="F54" i="7" s="1"/>
  <c r="D58" i="7"/>
  <c r="F58" i="7" s="1"/>
  <c r="D62" i="7"/>
  <c r="F62" i="7" s="1"/>
  <c r="D45" i="7"/>
  <c r="F45" i="7" s="1"/>
  <c r="D47" i="6"/>
  <c r="F47" i="6" s="1"/>
  <c r="D52" i="6"/>
  <c r="F52" i="6" s="1"/>
  <c r="D56" i="6"/>
  <c r="F56" i="6" s="1"/>
  <c r="D60" i="6"/>
  <c r="F60" i="6" s="1"/>
  <c r="D40" i="6"/>
  <c r="F40" i="6" s="1"/>
  <c r="D48" i="6"/>
  <c r="F48" i="6" s="1"/>
  <c r="D63" i="6"/>
  <c r="F63" i="6" s="1"/>
  <c r="D43" i="6"/>
  <c r="F43" i="6" s="1"/>
  <c r="D51" i="6"/>
  <c r="F51" i="6" s="1"/>
  <c r="D64" i="6"/>
  <c r="F64" i="6" s="1"/>
  <c r="D44" i="6"/>
  <c r="F44" i="6" s="1"/>
  <c r="D55" i="6"/>
  <c r="F55" i="6" s="1"/>
  <c r="D59" i="6"/>
  <c r="F59" i="6" s="1"/>
  <c r="D39" i="6"/>
  <c r="F39" i="6" s="1"/>
  <c r="D49" i="6"/>
  <c r="F49" i="6" s="1"/>
  <c r="D38" i="6"/>
  <c r="D42" i="6"/>
  <c r="F42" i="6" s="1"/>
  <c r="D46" i="6"/>
  <c r="F46" i="6" s="1"/>
  <c r="D50" i="6"/>
  <c r="F50" i="6" s="1"/>
  <c r="D54" i="6"/>
  <c r="F54" i="6" s="1"/>
  <c r="D58" i="6"/>
  <c r="F58" i="6" s="1"/>
  <c r="D62" i="6"/>
  <c r="F62" i="6" s="1"/>
  <c r="D41" i="6"/>
  <c r="F41" i="6" s="1"/>
  <c r="D45" i="6"/>
  <c r="F45" i="6" s="1"/>
  <c r="D57" i="6"/>
  <c r="F57" i="6" s="1"/>
  <c r="D61" i="6"/>
  <c r="F61" i="6" s="1"/>
  <c r="C32" i="5"/>
  <c r="C29" i="20" s="1"/>
  <c r="F164" i="5"/>
  <c r="F216" i="5"/>
  <c r="B13" i="5"/>
  <c r="B18" i="5" s="1"/>
  <c r="E60" i="5" s="1"/>
  <c r="G60" i="5" s="1"/>
  <c r="K62" i="7" l="1"/>
  <c r="Q62" i="7"/>
  <c r="N62" i="7"/>
  <c r="K46" i="7"/>
  <c r="Q46" i="7"/>
  <c r="N46" i="7"/>
  <c r="N57" i="7"/>
  <c r="K57" i="7"/>
  <c r="Q57" i="7"/>
  <c r="K64" i="7"/>
  <c r="Q64" i="7"/>
  <c r="N64" i="7"/>
  <c r="K48" i="7"/>
  <c r="Q48" i="7"/>
  <c r="N48" i="7"/>
  <c r="N59" i="7"/>
  <c r="K59" i="7"/>
  <c r="Q59" i="7"/>
  <c r="N43" i="7"/>
  <c r="K43" i="7"/>
  <c r="Q43" i="7"/>
  <c r="K58" i="7"/>
  <c r="Q58" i="7"/>
  <c r="N58" i="7"/>
  <c r="K42" i="7"/>
  <c r="Q42" i="7"/>
  <c r="N42" i="7"/>
  <c r="N53" i="7"/>
  <c r="K53" i="7"/>
  <c r="Q53" i="7"/>
  <c r="K60" i="7"/>
  <c r="Q60" i="7"/>
  <c r="N60" i="7"/>
  <c r="K40" i="7"/>
  <c r="Q40" i="7"/>
  <c r="N40" i="7"/>
  <c r="N55" i="7"/>
  <c r="K55" i="7"/>
  <c r="Q55" i="7"/>
  <c r="N39" i="7"/>
  <c r="K39" i="7"/>
  <c r="Q39" i="7"/>
  <c r="K54" i="7"/>
  <c r="Q54" i="7"/>
  <c r="N54" i="7"/>
  <c r="N49" i="7"/>
  <c r="K49" i="7"/>
  <c r="Q49" i="7"/>
  <c r="K56" i="7"/>
  <c r="Q56" i="7"/>
  <c r="N56" i="7"/>
  <c r="N51" i="7"/>
  <c r="K51" i="7"/>
  <c r="Q51" i="7"/>
  <c r="N45" i="7"/>
  <c r="K45" i="7"/>
  <c r="Q45" i="7"/>
  <c r="K50" i="7"/>
  <c r="Q50" i="7"/>
  <c r="N50" i="7"/>
  <c r="N61" i="7"/>
  <c r="K61" i="7"/>
  <c r="Q61" i="7"/>
  <c r="K44" i="7"/>
  <c r="Q44" i="7"/>
  <c r="N44" i="7"/>
  <c r="K52" i="7"/>
  <c r="Q52" i="7"/>
  <c r="N52" i="7"/>
  <c r="N63" i="7"/>
  <c r="K63" i="7"/>
  <c r="Q63" i="7"/>
  <c r="N47" i="7"/>
  <c r="K47" i="7"/>
  <c r="Q47" i="7"/>
  <c r="D50" i="5"/>
  <c r="F50" i="5" s="1"/>
  <c r="D58" i="5"/>
  <c r="F58" i="5" s="1"/>
  <c r="D59" i="5"/>
  <c r="F59" i="5" s="1"/>
  <c r="D47" i="5"/>
  <c r="F47" i="5" s="1"/>
  <c r="D60" i="5"/>
  <c r="F60" i="5" s="1"/>
  <c r="D48" i="5"/>
  <c r="F48" i="5" s="1"/>
  <c r="D41" i="5"/>
  <c r="F41" i="5" s="1"/>
  <c r="D57" i="5"/>
  <c r="F57" i="5" s="1"/>
  <c r="D63" i="5"/>
  <c r="F63" i="5" s="1"/>
  <c r="D38" i="5"/>
  <c r="F38" i="5" s="1"/>
  <c r="D55" i="5"/>
  <c r="F55" i="5" s="1"/>
  <c r="D45" i="5"/>
  <c r="F45" i="5" s="1"/>
  <c r="D56" i="5"/>
  <c r="F56" i="5" s="1"/>
  <c r="D44" i="5"/>
  <c r="F44" i="5" s="1"/>
  <c r="D40" i="5"/>
  <c r="D51" i="5"/>
  <c r="F51" i="5" s="1"/>
  <c r="D46" i="5"/>
  <c r="F46" i="5" s="1"/>
  <c r="D62" i="5"/>
  <c r="F62" i="5" s="1"/>
  <c r="D54" i="5"/>
  <c r="F54" i="5" s="1"/>
  <c r="D43" i="5"/>
  <c r="F43" i="5" s="1"/>
  <c r="D52" i="5"/>
  <c r="F52" i="5" s="1"/>
  <c r="D64" i="5"/>
  <c r="F64" i="5" s="1"/>
  <c r="D49" i="5"/>
  <c r="F49" i="5" s="1"/>
  <c r="D42" i="5"/>
  <c r="F42" i="5" s="1"/>
  <c r="D61" i="5"/>
  <c r="F61" i="5" s="1"/>
  <c r="D53" i="5"/>
  <c r="F53" i="5" s="1"/>
  <c r="E53" i="6"/>
  <c r="G53" i="6" s="1"/>
  <c r="E54" i="6"/>
  <c r="G54" i="6" s="1"/>
  <c r="B17" i="6"/>
  <c r="C32" i="6" s="1"/>
  <c r="D29" i="20" s="1"/>
  <c r="E60" i="6"/>
  <c r="G60" i="6" s="1"/>
  <c r="E56" i="6"/>
  <c r="G56" i="6" s="1"/>
  <c r="E46" i="6"/>
  <c r="G46" i="6" s="1"/>
  <c r="E62" i="6"/>
  <c r="G62" i="6" s="1"/>
  <c r="E44" i="6"/>
  <c r="G44" i="6" s="1"/>
  <c r="E55" i="6"/>
  <c r="G55" i="6" s="1"/>
  <c r="E47" i="6"/>
  <c r="G47" i="6" s="1"/>
  <c r="E41" i="6"/>
  <c r="G41" i="6" s="1"/>
  <c r="E45" i="6"/>
  <c r="G45" i="6" s="1"/>
  <c r="E50" i="6"/>
  <c r="G50" i="6" s="1"/>
  <c r="E43" i="6"/>
  <c r="G43" i="6" s="1"/>
  <c r="E59" i="6"/>
  <c r="G59" i="6" s="1"/>
  <c r="E38" i="6"/>
  <c r="G38" i="6" s="1"/>
  <c r="E48" i="6"/>
  <c r="G48" i="6" s="1"/>
  <c r="E61" i="6"/>
  <c r="G61" i="6" s="1"/>
  <c r="E42" i="6"/>
  <c r="G42" i="6" s="1"/>
  <c r="E58" i="6"/>
  <c r="G58" i="6" s="1"/>
  <c r="E40" i="6"/>
  <c r="G40" i="6" s="1"/>
  <c r="E64" i="6"/>
  <c r="G64" i="6" s="1"/>
  <c r="E63" i="6"/>
  <c r="G63" i="6" s="1"/>
  <c r="C23" i="6"/>
  <c r="D24" i="20" s="1"/>
  <c r="E57" i="6"/>
  <c r="G57" i="6" s="1"/>
  <c r="E51" i="6"/>
  <c r="G51" i="6" s="1"/>
  <c r="C25" i="6"/>
  <c r="D26" i="20" s="1"/>
  <c r="E52" i="6"/>
  <c r="G52" i="6" s="1"/>
  <c r="C24" i="6"/>
  <c r="D25" i="20" s="1"/>
  <c r="C27" i="6"/>
  <c r="D28" i="20" s="1"/>
  <c r="C26" i="6"/>
  <c r="D27" i="20" s="1"/>
  <c r="E39" i="6"/>
  <c r="G39" i="6" s="1"/>
  <c r="F38" i="7"/>
  <c r="D65" i="7"/>
  <c r="E41" i="7"/>
  <c r="G41" i="7" s="1"/>
  <c r="E44" i="7"/>
  <c r="G44" i="7" s="1"/>
  <c r="C26" i="7"/>
  <c r="F27" i="20" s="1"/>
  <c r="E56" i="7"/>
  <c r="G56" i="7" s="1"/>
  <c r="E62" i="7"/>
  <c r="G62" i="7" s="1"/>
  <c r="E58" i="7"/>
  <c r="G58" i="7" s="1"/>
  <c r="E54" i="7"/>
  <c r="G54" i="7" s="1"/>
  <c r="E50" i="7"/>
  <c r="G50" i="7" s="1"/>
  <c r="E46" i="7"/>
  <c r="G46" i="7" s="1"/>
  <c r="E42" i="7"/>
  <c r="G42" i="7" s="1"/>
  <c r="E38" i="7"/>
  <c r="E61" i="7"/>
  <c r="G61" i="7" s="1"/>
  <c r="E48" i="7"/>
  <c r="G48" i="7" s="1"/>
  <c r="E57" i="7"/>
  <c r="G57" i="7" s="1"/>
  <c r="C23" i="7"/>
  <c r="F24" i="20" s="1"/>
  <c r="C27" i="7"/>
  <c r="F28" i="20" s="1"/>
  <c r="E53" i="7"/>
  <c r="G53" i="7" s="1"/>
  <c r="C24" i="7"/>
  <c r="F25" i="20" s="1"/>
  <c r="E49" i="7"/>
  <c r="G49" i="7" s="1"/>
  <c r="E45" i="7"/>
  <c r="G45" i="7" s="1"/>
  <c r="E60" i="7"/>
  <c r="G60" i="7" s="1"/>
  <c r="C25" i="7"/>
  <c r="F26" i="20" s="1"/>
  <c r="E40" i="7"/>
  <c r="G40" i="7" s="1"/>
  <c r="E64" i="7"/>
  <c r="G64" i="7" s="1"/>
  <c r="E52" i="7"/>
  <c r="G52" i="7" s="1"/>
  <c r="E63" i="7"/>
  <c r="G63" i="7" s="1"/>
  <c r="E59" i="7"/>
  <c r="G59" i="7" s="1"/>
  <c r="E55" i="7"/>
  <c r="G55" i="7" s="1"/>
  <c r="E51" i="7"/>
  <c r="G51" i="7" s="1"/>
  <c r="E47" i="7"/>
  <c r="G47" i="7" s="1"/>
  <c r="E43" i="7"/>
  <c r="G43" i="7" s="1"/>
  <c r="E39" i="7"/>
  <c r="G39" i="7" s="1"/>
  <c r="D65" i="6"/>
  <c r="F38" i="6"/>
  <c r="F65" i="6" s="1"/>
  <c r="E64" i="5"/>
  <c r="G64" i="5" s="1"/>
  <c r="E59" i="5"/>
  <c r="G59" i="5" s="1"/>
  <c r="E55" i="5"/>
  <c r="G55" i="5" s="1"/>
  <c r="E51" i="5"/>
  <c r="G51" i="5" s="1"/>
  <c r="E47" i="5"/>
  <c r="G47" i="5" s="1"/>
  <c r="E43" i="5"/>
  <c r="G43" i="5" s="1"/>
  <c r="E39" i="5"/>
  <c r="G39" i="5" s="1"/>
  <c r="E63" i="5"/>
  <c r="G63" i="5" s="1"/>
  <c r="E58" i="5"/>
  <c r="G58" i="5" s="1"/>
  <c r="E54" i="5"/>
  <c r="G54" i="5" s="1"/>
  <c r="E50" i="5"/>
  <c r="G50" i="5" s="1"/>
  <c r="E46" i="5"/>
  <c r="G46" i="5" s="1"/>
  <c r="E42" i="5"/>
  <c r="G42" i="5" s="1"/>
  <c r="E38" i="5"/>
  <c r="E62" i="5"/>
  <c r="G62" i="5" s="1"/>
  <c r="E57" i="5"/>
  <c r="G57" i="5" s="1"/>
  <c r="E53" i="5"/>
  <c r="G53" i="5" s="1"/>
  <c r="E49" i="5"/>
  <c r="G49" i="5" s="1"/>
  <c r="E45" i="5"/>
  <c r="G45" i="5" s="1"/>
  <c r="E41" i="5"/>
  <c r="G41" i="5" s="1"/>
  <c r="C27" i="5"/>
  <c r="C28" i="20" s="1"/>
  <c r="C26" i="5"/>
  <c r="C27" i="20" s="1"/>
  <c r="C25" i="5"/>
  <c r="C26" i="20" s="1"/>
  <c r="E61" i="5"/>
  <c r="G61" i="5" s="1"/>
  <c r="C24" i="5"/>
  <c r="C25" i="20" s="1"/>
  <c r="E56" i="5"/>
  <c r="G56" i="5" s="1"/>
  <c r="E52" i="5"/>
  <c r="G52" i="5" s="1"/>
  <c r="E48" i="5"/>
  <c r="G48" i="5" s="1"/>
  <c r="E44" i="5"/>
  <c r="G44" i="5" s="1"/>
  <c r="E40" i="5"/>
  <c r="G40" i="5" s="1"/>
  <c r="C23" i="5"/>
  <c r="C24" i="20" s="1"/>
  <c r="M51" i="7" l="1"/>
  <c r="J51" i="7"/>
  <c r="P51" i="7"/>
  <c r="J52" i="7"/>
  <c r="P52" i="7"/>
  <c r="M52" i="7"/>
  <c r="J60" i="7"/>
  <c r="P60" i="7"/>
  <c r="M60" i="7"/>
  <c r="M53" i="7"/>
  <c r="J53" i="7"/>
  <c r="P53" i="7"/>
  <c r="J48" i="7"/>
  <c r="P48" i="7"/>
  <c r="M48" i="7"/>
  <c r="J46" i="7"/>
  <c r="P46" i="7"/>
  <c r="M46" i="7"/>
  <c r="J62" i="7"/>
  <c r="P62" i="7"/>
  <c r="M62" i="7"/>
  <c r="M41" i="7"/>
  <c r="J41" i="7"/>
  <c r="P41" i="7"/>
  <c r="M39" i="7"/>
  <c r="J39" i="7"/>
  <c r="P39" i="7"/>
  <c r="M55" i="7"/>
  <c r="J55" i="7"/>
  <c r="P55" i="7"/>
  <c r="J64" i="7"/>
  <c r="P64" i="7"/>
  <c r="M64" i="7"/>
  <c r="M45" i="7"/>
  <c r="J45" i="7"/>
  <c r="P45" i="7"/>
  <c r="M61" i="7"/>
  <c r="J61" i="7"/>
  <c r="P61" i="7"/>
  <c r="J50" i="7"/>
  <c r="P50" i="7"/>
  <c r="M50" i="7"/>
  <c r="J56" i="7"/>
  <c r="P56" i="7"/>
  <c r="M56" i="7"/>
  <c r="M43" i="7"/>
  <c r="J43" i="7"/>
  <c r="P43" i="7"/>
  <c r="M59" i="7"/>
  <c r="J59" i="7"/>
  <c r="P59" i="7"/>
  <c r="J40" i="7"/>
  <c r="P40" i="7"/>
  <c r="M40" i="7"/>
  <c r="M49" i="7"/>
  <c r="J49" i="7"/>
  <c r="P49" i="7"/>
  <c r="J54" i="7"/>
  <c r="P54" i="7"/>
  <c r="M54" i="7"/>
  <c r="F65" i="7"/>
  <c r="Q38" i="7"/>
  <c r="K38" i="7"/>
  <c r="N38" i="7"/>
  <c r="M47" i="7"/>
  <c r="J47" i="7"/>
  <c r="P47" i="7"/>
  <c r="M63" i="7"/>
  <c r="J63" i="7"/>
  <c r="P63" i="7"/>
  <c r="M57" i="7"/>
  <c r="J57" i="7"/>
  <c r="P57" i="7"/>
  <c r="J42" i="7"/>
  <c r="P42" i="7"/>
  <c r="M42" i="7"/>
  <c r="J58" i="7"/>
  <c r="P58" i="7"/>
  <c r="M58" i="7"/>
  <c r="J44" i="7"/>
  <c r="P44" i="7"/>
  <c r="M44" i="7"/>
  <c r="D65" i="5"/>
  <c r="F40" i="5"/>
  <c r="F65" i="5" s="1"/>
  <c r="E65" i="6"/>
  <c r="G65" i="6"/>
  <c r="G38" i="7"/>
  <c r="E65" i="7"/>
  <c r="G38" i="5"/>
  <c r="G65" i="5" s="1"/>
  <c r="E65" i="5"/>
  <c r="G65" i="7" l="1"/>
  <c r="P38" i="7"/>
  <c r="J38" i="7"/>
  <c r="M38" i="7"/>
  <c r="B12" i="10"/>
  <c r="B17" i="10" s="1"/>
  <c r="C32" i="10" s="1"/>
  <c r="E29" i="20" s="1"/>
  <c r="G29" i="20" s="1"/>
  <c r="B19" i="10"/>
  <c r="D64" i="10" s="1"/>
  <c r="F64" i="10" s="1"/>
  <c r="D38" i="10" l="1"/>
  <c r="B13" i="10"/>
  <c r="B18" i="10" s="1"/>
  <c r="D42" i="10"/>
  <c r="F42" i="10" s="1"/>
  <c r="D62" i="10"/>
  <c r="F62" i="10" s="1"/>
  <c r="D54" i="10"/>
  <c r="F54" i="10" s="1"/>
  <c r="D46" i="10"/>
  <c r="F46" i="10" s="1"/>
  <c r="D56" i="10"/>
  <c r="F56" i="10" s="1"/>
  <c r="D59" i="10"/>
  <c r="F59" i="10" s="1"/>
  <c r="D39" i="10"/>
  <c r="F39" i="10" s="1"/>
  <c r="D57" i="10"/>
  <c r="F57" i="10" s="1"/>
  <c r="D49" i="10"/>
  <c r="F49" i="10" s="1"/>
  <c r="D40" i="10"/>
  <c r="F40" i="10" s="1"/>
  <c r="D52" i="10"/>
  <c r="F52" i="10" s="1"/>
  <c r="D63" i="10"/>
  <c r="F63" i="10" s="1"/>
  <c r="D51" i="10"/>
  <c r="F51" i="10" s="1"/>
  <c r="D43" i="10"/>
  <c r="F43" i="10" s="1"/>
  <c r="D58" i="10"/>
  <c r="F58" i="10" s="1"/>
  <c r="D50" i="10"/>
  <c r="F50" i="10" s="1"/>
  <c r="D41" i="10"/>
  <c r="F41" i="10" s="1"/>
  <c r="D44" i="10"/>
  <c r="F44" i="10" s="1"/>
  <c r="D47" i="10"/>
  <c r="F47" i="10" s="1"/>
  <c r="D61" i="10"/>
  <c r="F61" i="10" s="1"/>
  <c r="D53" i="10"/>
  <c r="F53" i="10" s="1"/>
  <c r="D45" i="10"/>
  <c r="F45" i="10" s="1"/>
  <c r="D60" i="10"/>
  <c r="F60" i="10" s="1"/>
  <c r="D48" i="10"/>
  <c r="F48" i="10" s="1"/>
  <c r="D55" i="10"/>
  <c r="F55" i="10" s="1"/>
  <c r="I23" i="14" l="1"/>
  <c r="I26" i="14" s="1"/>
  <c r="E9" i="20" s="1"/>
  <c r="C27" i="10"/>
  <c r="E28" i="20" s="1"/>
  <c r="G28" i="20" s="1"/>
  <c r="C24" i="10"/>
  <c r="E25" i="20" s="1"/>
  <c r="G25" i="20" s="1"/>
  <c r="E42" i="10"/>
  <c r="G42" i="10" s="1"/>
  <c r="E62" i="10"/>
  <c r="G62" i="10" s="1"/>
  <c r="E43" i="10"/>
  <c r="G43" i="10" s="1"/>
  <c r="E51" i="10"/>
  <c r="G51" i="10" s="1"/>
  <c r="E59" i="10"/>
  <c r="G59" i="10" s="1"/>
  <c r="E54" i="10"/>
  <c r="G54" i="10" s="1"/>
  <c r="E44" i="10"/>
  <c r="G44" i="10" s="1"/>
  <c r="E52" i="10"/>
  <c r="G52" i="10" s="1"/>
  <c r="E60" i="10"/>
  <c r="G60" i="10" s="1"/>
  <c r="E46" i="10"/>
  <c r="G46" i="10" s="1"/>
  <c r="E41" i="10"/>
  <c r="G41" i="10" s="1"/>
  <c r="E49" i="10"/>
  <c r="G49" i="10" s="1"/>
  <c r="E57" i="10"/>
  <c r="G57" i="10" s="1"/>
  <c r="E61" i="10"/>
  <c r="G61" i="10" s="1"/>
  <c r="C25" i="10"/>
  <c r="E26" i="20" s="1"/>
  <c r="G26" i="20" s="1"/>
  <c r="E38" i="10"/>
  <c r="C26" i="10"/>
  <c r="E27" i="20" s="1"/>
  <c r="G27" i="20" s="1"/>
  <c r="C23" i="10"/>
  <c r="E24" i="20" s="1"/>
  <c r="G24" i="20" s="1"/>
  <c r="E50" i="10"/>
  <c r="G50" i="10" s="1"/>
  <c r="E39" i="10"/>
  <c r="G39" i="10" s="1"/>
  <c r="E47" i="10"/>
  <c r="G47" i="10" s="1"/>
  <c r="E55" i="10"/>
  <c r="G55" i="10" s="1"/>
  <c r="E63" i="10"/>
  <c r="G63" i="10" s="1"/>
  <c r="E40" i="10"/>
  <c r="G40" i="10" s="1"/>
  <c r="E48" i="10"/>
  <c r="G48" i="10" s="1"/>
  <c r="E56" i="10"/>
  <c r="G56" i="10" s="1"/>
  <c r="E64" i="10"/>
  <c r="G64" i="10" s="1"/>
  <c r="E58" i="10"/>
  <c r="G58" i="10" s="1"/>
  <c r="E45" i="10"/>
  <c r="G45" i="10" s="1"/>
  <c r="E53" i="10"/>
  <c r="G53" i="10" s="1"/>
  <c r="F38" i="10"/>
  <c r="F65" i="10" s="1"/>
  <c r="D65" i="10"/>
  <c r="E65" i="10" l="1"/>
  <c r="G38" i="10"/>
  <c r="G65"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John Browning</author>
  </authors>
  <commentList>
    <comment ref="B140" authorId="0" shapeId="0" xr:uid="{84954EB9-6B69-F04D-8F03-24C8B628A989}">
      <text>
        <r>
          <rPr>
            <b/>
            <sz val="9"/>
            <color indexed="81"/>
            <rFont val="Calibri"/>
            <family val="2"/>
          </rPr>
          <t>John Browning:</t>
        </r>
        <r>
          <rPr>
            <sz val="9"/>
            <color indexed="81"/>
            <rFont val="Calibri"/>
            <family val="2"/>
          </rPr>
          <t xml:space="preserve">
0.003 kg/MMBtu
0.138 MMBtu/gal
GWP = 25
Emission Factor in RR appears incorrect</t>
        </r>
      </text>
    </comment>
    <comment ref="B141" authorId="0" shapeId="0" xr:uid="{818591FF-43FB-A048-86F3-3E7BEB05714A}">
      <text>
        <r>
          <rPr>
            <b/>
            <sz val="9"/>
            <color indexed="81"/>
            <rFont val="Calibri"/>
            <family val="2"/>
          </rPr>
          <t>John Browning:</t>
        </r>
        <r>
          <rPr>
            <sz val="9"/>
            <color indexed="81"/>
            <rFont val="Calibri"/>
            <family val="2"/>
          </rPr>
          <t xml:space="preserve">
073.96 kg/MMBtu
0.138 MMBtu/gal
</t>
        </r>
      </text>
    </comment>
    <comment ref="B142" authorId="0" shapeId="0" xr:uid="{4B93F623-8826-A14E-924B-0393B2D8756B}">
      <text>
        <r>
          <rPr>
            <b/>
            <sz val="9"/>
            <color indexed="81"/>
            <rFont val="Calibri"/>
            <family val="2"/>
          </rPr>
          <t>John Browning:</t>
        </r>
        <r>
          <rPr>
            <sz val="9"/>
            <color indexed="81"/>
            <rFont val="Calibri"/>
            <family val="2"/>
          </rPr>
          <t xml:space="preserve">
0.0006 kg/MMBtu
0.138 MMBtu/gal
GWP = 298
Emission Factor in RR appears incorrect</t>
        </r>
      </text>
    </comment>
    <comment ref="B192" authorId="0" shapeId="0" xr:uid="{5375FC56-B5A1-D94B-AE6F-DB222E8E35C7}">
      <text>
        <r>
          <rPr>
            <b/>
            <sz val="9"/>
            <color indexed="81"/>
            <rFont val="Calibri"/>
            <family val="2"/>
          </rPr>
          <t>John Browning:</t>
        </r>
        <r>
          <rPr>
            <sz val="9"/>
            <color indexed="81"/>
            <rFont val="Calibri"/>
            <family val="2"/>
          </rPr>
          <t xml:space="preserve">
0.003 kg/MMBtu
0.138 MMBtu/gal
GWP = 25
Emission Factor in RR appears incorrect</t>
        </r>
      </text>
    </comment>
    <comment ref="B193" authorId="0" shapeId="0" xr:uid="{6FFCB876-9227-C342-AC9D-3DDB52C2AC7E}">
      <text>
        <r>
          <rPr>
            <b/>
            <sz val="9"/>
            <color indexed="81"/>
            <rFont val="Calibri"/>
            <family val="2"/>
          </rPr>
          <t>John Browning:</t>
        </r>
        <r>
          <rPr>
            <sz val="9"/>
            <color indexed="81"/>
            <rFont val="Calibri"/>
            <family val="2"/>
          </rPr>
          <t xml:space="preserve">
073.96 kg/MMBtu
0.138 MMBtu/gal
</t>
        </r>
      </text>
    </comment>
    <comment ref="B194" authorId="0" shapeId="0" xr:uid="{90CA3634-0744-5D41-B0E1-77ED3F42F5EE}">
      <text>
        <r>
          <rPr>
            <b/>
            <sz val="9"/>
            <color indexed="81"/>
            <rFont val="Calibri"/>
            <family val="2"/>
          </rPr>
          <t>John Browning:</t>
        </r>
        <r>
          <rPr>
            <sz val="9"/>
            <color indexed="81"/>
            <rFont val="Calibri"/>
            <family val="2"/>
          </rPr>
          <t xml:space="preserve">
0.0006 kg/MMBtu
0.138 MMBtu/gal
GWP = 298
Emission Factor in RR appears incorrect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John Browning</author>
  </authors>
  <commentList>
    <comment ref="B140" authorId="0" shapeId="0" xr:uid="{57F71B8C-08FA-4943-821E-D42C0787C34F}">
      <text>
        <r>
          <rPr>
            <b/>
            <sz val="9"/>
            <color indexed="81"/>
            <rFont val="Calibri"/>
            <family val="2"/>
          </rPr>
          <t>John Browning:</t>
        </r>
        <r>
          <rPr>
            <sz val="9"/>
            <color indexed="81"/>
            <rFont val="Calibri"/>
            <family val="2"/>
          </rPr>
          <t xml:space="preserve">
0.003 kg/MMBtu
0.138 MMBtu/gal
GWP = 25
Emission Factor in RR appears incorrect</t>
        </r>
      </text>
    </comment>
    <comment ref="B141" authorId="0" shapeId="0" xr:uid="{1C3CA856-E8B4-E847-B32D-1977567C5169}">
      <text>
        <r>
          <rPr>
            <b/>
            <sz val="9"/>
            <color indexed="81"/>
            <rFont val="Calibri"/>
            <family val="2"/>
          </rPr>
          <t>John Browning:</t>
        </r>
        <r>
          <rPr>
            <sz val="9"/>
            <color indexed="81"/>
            <rFont val="Calibri"/>
            <family val="2"/>
          </rPr>
          <t xml:space="preserve">
073.96 kg/MMBtu
0.138 MMBtu/gal
</t>
        </r>
      </text>
    </comment>
    <comment ref="B142" authorId="0" shapeId="0" xr:uid="{328A3686-8130-244F-93C6-C65E7EAA39BB}">
      <text>
        <r>
          <rPr>
            <b/>
            <sz val="9"/>
            <color indexed="81"/>
            <rFont val="Calibri"/>
            <family val="2"/>
          </rPr>
          <t>John Browning:</t>
        </r>
        <r>
          <rPr>
            <sz val="9"/>
            <color indexed="81"/>
            <rFont val="Calibri"/>
            <family val="2"/>
          </rPr>
          <t xml:space="preserve">
0.0006 kg/MMBtu
0.138 MMBtu/gal
GWP = 298
Emission Factor in RR appears incorrect</t>
        </r>
      </text>
    </comment>
    <comment ref="B192" authorId="0" shapeId="0" xr:uid="{D78AD42F-28F3-4943-89AD-EC4D97C1AAAE}">
      <text>
        <r>
          <rPr>
            <b/>
            <sz val="9"/>
            <color indexed="81"/>
            <rFont val="Calibri"/>
            <family val="2"/>
          </rPr>
          <t>John Browning:</t>
        </r>
        <r>
          <rPr>
            <sz val="9"/>
            <color indexed="81"/>
            <rFont val="Calibri"/>
            <family val="2"/>
          </rPr>
          <t xml:space="preserve">
0.003 kg/MMBtu
0.138 MMBtu/gal
GWP = 25
Emission Factor in RR appears incorrect</t>
        </r>
      </text>
    </comment>
    <comment ref="B193" authorId="0" shapeId="0" xr:uid="{7D545A87-48A8-2648-B738-B57E6125F01F}">
      <text>
        <r>
          <rPr>
            <b/>
            <sz val="9"/>
            <color indexed="81"/>
            <rFont val="Calibri"/>
            <family val="2"/>
          </rPr>
          <t>John Browning:</t>
        </r>
        <r>
          <rPr>
            <sz val="9"/>
            <color indexed="81"/>
            <rFont val="Calibri"/>
            <family val="2"/>
          </rPr>
          <t xml:space="preserve">
073.96 kg/MMBtu
0.138 MMBtu/gal
</t>
        </r>
      </text>
    </comment>
    <comment ref="B194" authorId="0" shapeId="0" xr:uid="{29D150D5-6205-E84F-A00C-34BBD61B97F8}">
      <text>
        <r>
          <rPr>
            <b/>
            <sz val="9"/>
            <color indexed="81"/>
            <rFont val="Calibri"/>
            <family val="2"/>
          </rPr>
          <t>John Browning:</t>
        </r>
        <r>
          <rPr>
            <sz val="9"/>
            <color indexed="81"/>
            <rFont val="Calibri"/>
            <family val="2"/>
          </rPr>
          <t xml:space="preserve">
0.0006 kg/MMBtu
0.138 MMBtu/gal
GWP = 298
Emission Factor in RR appears incorrect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John Browning</author>
  </authors>
  <commentList>
    <comment ref="B140" authorId="0" shapeId="0" xr:uid="{06546EA0-DF5E-C44D-A7ED-30AE45DC36B2}">
      <text>
        <r>
          <rPr>
            <b/>
            <sz val="9"/>
            <color indexed="81"/>
            <rFont val="Calibri"/>
            <family val="2"/>
          </rPr>
          <t>John Browning:</t>
        </r>
        <r>
          <rPr>
            <sz val="9"/>
            <color indexed="81"/>
            <rFont val="Calibri"/>
            <family val="2"/>
          </rPr>
          <t xml:space="preserve">
0.003 kg/MMBtu
0.138 MMBtu/gal
GWP = 25
Emission Factor in RR appears incorrect</t>
        </r>
      </text>
    </comment>
    <comment ref="B141" authorId="0" shapeId="0" xr:uid="{0EA03AF4-C4D9-5941-B4D6-BAD463935615}">
      <text>
        <r>
          <rPr>
            <b/>
            <sz val="9"/>
            <color indexed="81"/>
            <rFont val="Calibri"/>
            <family val="2"/>
          </rPr>
          <t>John Browning:</t>
        </r>
        <r>
          <rPr>
            <sz val="9"/>
            <color indexed="81"/>
            <rFont val="Calibri"/>
            <family val="2"/>
          </rPr>
          <t xml:space="preserve">
073.96 kg/MMBtu
0.138 MMBtu/gal
</t>
        </r>
      </text>
    </comment>
    <comment ref="B142" authorId="0" shapeId="0" xr:uid="{083CC056-BC31-0D4C-A928-F8E1C292762F}">
      <text>
        <r>
          <rPr>
            <b/>
            <sz val="9"/>
            <color indexed="81"/>
            <rFont val="Calibri"/>
            <family val="2"/>
          </rPr>
          <t>John Browning:</t>
        </r>
        <r>
          <rPr>
            <sz val="9"/>
            <color indexed="81"/>
            <rFont val="Calibri"/>
            <family val="2"/>
          </rPr>
          <t xml:space="preserve">
0.0006 kg/MMBtu
0.138 MMBtu/gal
GWP = 298
Emission Factor in RR appears incorrect</t>
        </r>
      </text>
    </comment>
    <comment ref="B192" authorId="0" shapeId="0" xr:uid="{C3BDB714-7CF6-C04E-BDA0-7C34CD5765E4}">
      <text>
        <r>
          <rPr>
            <b/>
            <sz val="9"/>
            <color indexed="81"/>
            <rFont val="Calibri"/>
            <family val="2"/>
          </rPr>
          <t>John Browning:</t>
        </r>
        <r>
          <rPr>
            <sz val="9"/>
            <color indexed="81"/>
            <rFont val="Calibri"/>
            <family val="2"/>
          </rPr>
          <t xml:space="preserve">
0.003 kg/MMBtu
0.138 MMBtu/gal
GWP = 25
Emission Factor in RR appears incorrect</t>
        </r>
      </text>
    </comment>
    <comment ref="B193" authorId="0" shapeId="0" xr:uid="{B068E465-8516-754A-9A5E-FAE9CC4E4814}">
      <text>
        <r>
          <rPr>
            <b/>
            <sz val="9"/>
            <color indexed="81"/>
            <rFont val="Calibri"/>
            <family val="2"/>
          </rPr>
          <t>John Browning:</t>
        </r>
        <r>
          <rPr>
            <sz val="9"/>
            <color indexed="81"/>
            <rFont val="Calibri"/>
            <family val="2"/>
          </rPr>
          <t xml:space="preserve">
073.96 kg/MMBtu
0.138 MMBtu/gal
</t>
        </r>
      </text>
    </comment>
    <comment ref="B194" authorId="0" shapeId="0" xr:uid="{9648AC0C-A265-034F-B066-B5BC015C138B}">
      <text>
        <r>
          <rPr>
            <b/>
            <sz val="9"/>
            <color indexed="81"/>
            <rFont val="Calibri"/>
            <family val="2"/>
          </rPr>
          <t>John Browning:</t>
        </r>
        <r>
          <rPr>
            <sz val="9"/>
            <color indexed="81"/>
            <rFont val="Calibri"/>
            <family val="2"/>
          </rPr>
          <t xml:space="preserve">
0.0006 kg/MMBtu
0.138 MMBtu/gal
GWP = 298
Emission Factor in RR appears incorrect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John Browning</author>
  </authors>
  <commentList>
    <comment ref="B140" authorId="0" shapeId="0" xr:uid="{F1722AAD-E0CE-DB4F-827C-760C92327083}">
      <text>
        <r>
          <rPr>
            <b/>
            <sz val="9"/>
            <color indexed="81"/>
            <rFont val="Calibri"/>
            <family val="2"/>
          </rPr>
          <t>John Browning:</t>
        </r>
        <r>
          <rPr>
            <sz val="9"/>
            <color indexed="81"/>
            <rFont val="Calibri"/>
            <family val="2"/>
          </rPr>
          <t xml:space="preserve">
0.003 kg/MMBtu
0.138 MMBtu/gal
GWP = 25
Emission Factor in RR appears incorrect</t>
        </r>
      </text>
    </comment>
    <comment ref="B141" authorId="0" shapeId="0" xr:uid="{68394D0E-1DAD-3347-B29E-70390F84AE5D}">
      <text>
        <r>
          <rPr>
            <b/>
            <sz val="9"/>
            <color indexed="81"/>
            <rFont val="Calibri"/>
            <family val="2"/>
          </rPr>
          <t>John Browning:</t>
        </r>
        <r>
          <rPr>
            <sz val="9"/>
            <color indexed="81"/>
            <rFont val="Calibri"/>
            <family val="2"/>
          </rPr>
          <t xml:space="preserve">
073.96 kg/MMBtu
0.138 MMBtu/gal
</t>
        </r>
      </text>
    </comment>
    <comment ref="B142" authorId="0" shapeId="0" xr:uid="{C65E6A99-CAD9-C741-80C0-A32397055048}">
      <text>
        <r>
          <rPr>
            <b/>
            <sz val="9"/>
            <color indexed="81"/>
            <rFont val="Calibri"/>
            <family val="2"/>
          </rPr>
          <t>John Browning:</t>
        </r>
        <r>
          <rPr>
            <sz val="9"/>
            <color indexed="81"/>
            <rFont val="Calibri"/>
            <family val="2"/>
          </rPr>
          <t xml:space="preserve">
0.0006 kg/MMBtu
0.138 MMBtu/gal
GWP = 298
Emission Factor in RR appears incorrect</t>
        </r>
      </text>
    </comment>
    <comment ref="B192" authorId="0" shapeId="0" xr:uid="{20B4D034-4E13-334C-80C7-16F604AC7E65}">
      <text>
        <r>
          <rPr>
            <b/>
            <sz val="9"/>
            <color indexed="81"/>
            <rFont val="Calibri"/>
            <family val="2"/>
          </rPr>
          <t>John Browning:</t>
        </r>
        <r>
          <rPr>
            <sz val="9"/>
            <color indexed="81"/>
            <rFont val="Calibri"/>
            <family val="2"/>
          </rPr>
          <t xml:space="preserve">
0.003 kg/MMBtu
0.138 MMBtu/gal
GWP = 25
Emission Factor in RR appears incorrect</t>
        </r>
      </text>
    </comment>
    <comment ref="B193" authorId="0" shapeId="0" xr:uid="{8BA5CA0E-50B7-2B44-AF46-637349E15D17}">
      <text>
        <r>
          <rPr>
            <b/>
            <sz val="9"/>
            <color indexed="81"/>
            <rFont val="Calibri"/>
            <family val="2"/>
          </rPr>
          <t>John Browning:</t>
        </r>
        <r>
          <rPr>
            <sz val="9"/>
            <color indexed="81"/>
            <rFont val="Calibri"/>
            <family val="2"/>
          </rPr>
          <t xml:space="preserve">
073.96 kg/MMBtu
0.138 MMBtu/gal
</t>
        </r>
      </text>
    </comment>
    <comment ref="B194" authorId="0" shapeId="0" xr:uid="{8B0C3E56-C7A2-0B4A-958F-F927E528DE8E}">
      <text>
        <r>
          <rPr>
            <b/>
            <sz val="9"/>
            <color indexed="81"/>
            <rFont val="Calibri"/>
            <family val="2"/>
          </rPr>
          <t>John Browning:</t>
        </r>
        <r>
          <rPr>
            <sz val="9"/>
            <color indexed="81"/>
            <rFont val="Calibri"/>
            <family val="2"/>
          </rPr>
          <t xml:space="preserve">
0.0006 kg/MMBtu
0.138 MMBtu/gal
GWP = 298
Emission Factor in RR appears incorrect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John Browning</author>
  </authors>
  <commentList>
    <comment ref="B143" authorId="0" shapeId="0" xr:uid="{FB1C99C4-BE7B-964A-9644-76888BB87248}">
      <text>
        <r>
          <rPr>
            <b/>
            <sz val="9"/>
            <color indexed="81"/>
            <rFont val="Calibri"/>
            <family val="2"/>
          </rPr>
          <t>John Browning:</t>
        </r>
        <r>
          <rPr>
            <sz val="9"/>
            <color indexed="81"/>
            <rFont val="Calibri"/>
            <family val="2"/>
          </rPr>
          <t xml:space="preserve">
0.003 kg/MMBtu
0.138 MMBtu/gal
GWP = 25
Emission Factor in RR appears incorrect</t>
        </r>
      </text>
    </comment>
    <comment ref="B144" authorId="0" shapeId="0" xr:uid="{B8A8B813-07DD-0B4E-8902-126F9FD9F6A8}">
      <text>
        <r>
          <rPr>
            <b/>
            <sz val="9"/>
            <color indexed="81"/>
            <rFont val="Calibri"/>
            <family val="2"/>
          </rPr>
          <t>John Browning:</t>
        </r>
        <r>
          <rPr>
            <sz val="9"/>
            <color indexed="81"/>
            <rFont val="Calibri"/>
            <family val="2"/>
          </rPr>
          <t xml:space="preserve">
073.96 kg/MMBtu
0.138 MMBtu/gal
</t>
        </r>
      </text>
    </comment>
    <comment ref="B145" authorId="0" shapeId="0" xr:uid="{AE6483B2-EA26-194A-AF60-A66A16D187FC}">
      <text>
        <r>
          <rPr>
            <b/>
            <sz val="9"/>
            <color indexed="81"/>
            <rFont val="Calibri"/>
            <family val="2"/>
          </rPr>
          <t>John Browning:</t>
        </r>
        <r>
          <rPr>
            <sz val="9"/>
            <color indexed="81"/>
            <rFont val="Calibri"/>
            <family val="2"/>
          </rPr>
          <t xml:space="preserve">
0.0006 kg/MMBtu
0.138 MMBtu/gal
GWP = 298
Emission Factor in RR appears incorrect</t>
        </r>
      </text>
    </comment>
    <comment ref="B195" authorId="0" shapeId="0" xr:uid="{1A9BAD5E-EA04-9F49-8F9F-B6AC53125764}">
      <text>
        <r>
          <rPr>
            <b/>
            <sz val="9"/>
            <color indexed="81"/>
            <rFont val="Calibri"/>
            <family val="2"/>
          </rPr>
          <t>John Browning:</t>
        </r>
        <r>
          <rPr>
            <sz val="9"/>
            <color indexed="81"/>
            <rFont val="Calibri"/>
            <family val="2"/>
          </rPr>
          <t xml:space="preserve">
0.003 kg/MMBtu
0.138 MMBtu/gal
GWP = 25
Emission Factor in RR appears incorrect</t>
        </r>
      </text>
    </comment>
    <comment ref="B196" authorId="0" shapeId="0" xr:uid="{CD89E76C-C1C5-3945-8792-58E9B3FE4EC8}">
      <text>
        <r>
          <rPr>
            <b/>
            <sz val="9"/>
            <color indexed="81"/>
            <rFont val="Calibri"/>
            <family val="2"/>
          </rPr>
          <t>John Browning:</t>
        </r>
        <r>
          <rPr>
            <sz val="9"/>
            <color indexed="81"/>
            <rFont val="Calibri"/>
            <family val="2"/>
          </rPr>
          <t xml:space="preserve">
073.96 kg/MMBtu
0.138 MMBtu/gal
</t>
        </r>
      </text>
    </comment>
    <comment ref="B197" authorId="0" shapeId="0" xr:uid="{4CD50817-63A5-0540-95FC-2858E675CEBF}">
      <text>
        <r>
          <rPr>
            <b/>
            <sz val="9"/>
            <color indexed="81"/>
            <rFont val="Calibri"/>
            <family val="2"/>
          </rPr>
          <t>John Browning:</t>
        </r>
        <r>
          <rPr>
            <sz val="9"/>
            <color indexed="81"/>
            <rFont val="Calibri"/>
            <family val="2"/>
          </rPr>
          <t xml:space="preserve">
0.0006 kg/MMBtu
0.138 MMBtu/gal
GWP = 298
Emission Factor in RR appears incorrect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John Browning</author>
  </authors>
  <commentList>
    <comment ref="B140" authorId="0" shapeId="0" xr:uid="{AEB46D4D-5F54-804A-AA5C-6EDD62BE5754}">
      <text>
        <r>
          <rPr>
            <b/>
            <sz val="9"/>
            <color indexed="81"/>
            <rFont val="Calibri"/>
            <family val="2"/>
          </rPr>
          <t>John Browning:</t>
        </r>
        <r>
          <rPr>
            <sz val="9"/>
            <color indexed="81"/>
            <rFont val="Calibri"/>
            <family val="2"/>
          </rPr>
          <t xml:space="preserve">
0.003 kg/MMBtu
0.138 MMBtu/gal
GWP = 25
Emission Factor in RR appears incorrect</t>
        </r>
      </text>
    </comment>
    <comment ref="B141" authorId="0" shapeId="0" xr:uid="{C08DA884-0B35-154C-9B80-B273173A6AFA}">
      <text>
        <r>
          <rPr>
            <b/>
            <sz val="9"/>
            <color indexed="81"/>
            <rFont val="Calibri"/>
            <family val="2"/>
          </rPr>
          <t>John Browning:</t>
        </r>
        <r>
          <rPr>
            <sz val="9"/>
            <color indexed="81"/>
            <rFont val="Calibri"/>
            <family val="2"/>
          </rPr>
          <t xml:space="preserve">
073.96 kg/MMBtu
0.138 MMBtu/gal
</t>
        </r>
      </text>
    </comment>
    <comment ref="B142" authorId="0" shapeId="0" xr:uid="{A62EDB69-6E68-CD43-969E-801E2C411272}">
      <text>
        <r>
          <rPr>
            <b/>
            <sz val="9"/>
            <color indexed="81"/>
            <rFont val="Calibri"/>
            <family val="2"/>
          </rPr>
          <t>John Browning:</t>
        </r>
        <r>
          <rPr>
            <sz val="9"/>
            <color indexed="81"/>
            <rFont val="Calibri"/>
            <family val="2"/>
          </rPr>
          <t xml:space="preserve">
0.0006 kg/MMBtu
0.138 MMBtu/gal
GWP = 298
Emission Factor in RR appears incorrect</t>
        </r>
      </text>
    </comment>
    <comment ref="B192" authorId="0" shapeId="0" xr:uid="{88B67CC1-A707-BD4B-B522-6843AC60E5C6}">
      <text>
        <r>
          <rPr>
            <b/>
            <sz val="9"/>
            <color indexed="81"/>
            <rFont val="Calibri"/>
            <family val="2"/>
          </rPr>
          <t>John Browning:</t>
        </r>
        <r>
          <rPr>
            <sz val="9"/>
            <color indexed="81"/>
            <rFont val="Calibri"/>
            <family val="2"/>
          </rPr>
          <t xml:space="preserve">
0.003 kg/MMBtu
0.138 MMBtu/gal
GWP = 25
Emission Factor in RR appears incorrect</t>
        </r>
      </text>
    </comment>
    <comment ref="B193" authorId="0" shapeId="0" xr:uid="{5238C067-E06A-5C4E-9642-AADB42DFB3C1}">
      <text>
        <r>
          <rPr>
            <b/>
            <sz val="9"/>
            <color indexed="81"/>
            <rFont val="Calibri"/>
            <family val="2"/>
          </rPr>
          <t>John Browning:</t>
        </r>
        <r>
          <rPr>
            <sz val="9"/>
            <color indexed="81"/>
            <rFont val="Calibri"/>
            <family val="2"/>
          </rPr>
          <t xml:space="preserve">
073.96 kg/MMBtu
0.138 MMBtu/gal
</t>
        </r>
      </text>
    </comment>
    <comment ref="B194" authorId="0" shapeId="0" xr:uid="{0744EFE5-60D6-BD44-B75D-2A2155F04E7E}">
      <text>
        <r>
          <rPr>
            <b/>
            <sz val="9"/>
            <color indexed="81"/>
            <rFont val="Calibri"/>
            <family val="2"/>
          </rPr>
          <t>John Browning:</t>
        </r>
        <r>
          <rPr>
            <sz val="9"/>
            <color indexed="81"/>
            <rFont val="Calibri"/>
            <family val="2"/>
          </rPr>
          <t xml:space="preserve">
0.0006 kg/MMBtu
0.138 MMBtu/gal
GWP = 298
Emission Factor in RR appears incorrect</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Candice Hatch</author>
  </authors>
  <commentList>
    <comment ref="K22" authorId="0" shapeId="0" xr:uid="{60F388B1-A1A0-8A4F-900E-CF5C025079A7}">
      <text>
        <r>
          <rPr>
            <b/>
            <sz val="10"/>
            <color rgb="FF000000"/>
            <rFont val="Tahoma"/>
            <family val="2"/>
          </rPr>
          <t>Candice Hatch:</t>
        </r>
        <r>
          <rPr>
            <sz val="10"/>
            <color rgb="FF000000"/>
            <rFont val="Tahoma"/>
            <family val="2"/>
          </rPr>
          <t xml:space="preserve">
</t>
        </r>
        <r>
          <rPr>
            <sz val="10"/>
            <color rgb="FF000000"/>
            <rFont val="Calibri"/>
            <family val="2"/>
          </rPr>
          <t xml:space="preserve">Based on 70 dynes/cm for a non-alkaline cleaning tank per MFFRST pg. 2-36)
</t>
        </r>
      </text>
    </comment>
    <comment ref="L22" authorId="0" shapeId="0" xr:uid="{3680C28A-853B-424C-93C0-7B4BA4C1E2C2}">
      <text>
        <r>
          <rPr>
            <b/>
            <sz val="10"/>
            <color rgb="FF000000"/>
            <rFont val="Tahoma"/>
            <family val="2"/>
          </rPr>
          <t>Candice Hatch:</t>
        </r>
        <r>
          <rPr>
            <sz val="10"/>
            <color rgb="FF000000"/>
            <rFont val="Tahoma"/>
            <family val="2"/>
          </rPr>
          <t xml:space="preserve">
</t>
        </r>
        <r>
          <rPr>
            <sz val="10"/>
            <color rgb="FF000000"/>
            <rFont val="Calibri"/>
            <family val="2"/>
          </rPr>
          <t xml:space="preserve">MFFRST pg. 2-36
</t>
        </r>
      </text>
    </comment>
    <comment ref="O22" authorId="0" shapeId="0" xr:uid="{6C233878-87EF-3A46-A17B-1568E18B811E}">
      <text>
        <r>
          <rPr>
            <b/>
            <sz val="10"/>
            <color rgb="FF000000"/>
            <rFont val="Tahoma"/>
            <family val="2"/>
          </rPr>
          <t>Candice Hatch:</t>
        </r>
        <r>
          <rPr>
            <sz val="10"/>
            <color rgb="FF000000"/>
            <rFont val="Tahoma"/>
            <family val="2"/>
          </rPr>
          <t xml:space="preserve">
</t>
        </r>
        <r>
          <rPr>
            <sz val="10"/>
            <color rgb="FF000000"/>
            <rFont val="Calibri"/>
            <family val="2"/>
          </rPr>
          <t xml:space="preserve">MFFRST pg. 2-36
</t>
        </r>
      </text>
    </comment>
    <comment ref="E30" authorId="0" shapeId="0" xr:uid="{0F92528B-9E79-A444-88D6-BDE99D3F8918}">
      <text>
        <r>
          <rPr>
            <b/>
            <sz val="10"/>
            <color rgb="FF000000"/>
            <rFont val="Tahoma"/>
            <family val="2"/>
          </rPr>
          <t>Candice Hatch:</t>
        </r>
        <r>
          <rPr>
            <sz val="10"/>
            <color rgb="FF000000"/>
            <rFont val="Tahoma"/>
            <family val="2"/>
          </rPr>
          <t xml:space="preserve">
</t>
        </r>
        <r>
          <rPr>
            <sz val="10"/>
            <color rgb="FF000000"/>
            <rFont val="Tahoma"/>
            <family val="2"/>
          </rPr>
          <t>Assumed bath concentration based on vendor inforamtion that chemical used in small quantities.  1 gal/100 gal assumed to be conservative estimate.</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John Browning</author>
  </authors>
  <commentList>
    <comment ref="B10" authorId="0" shapeId="0" xr:uid="{A815775A-6526-7D47-A433-13EDA005AA2D}">
      <text>
        <r>
          <rPr>
            <b/>
            <sz val="10"/>
            <color rgb="FF000000"/>
            <rFont val="Tahoma"/>
            <family val="2"/>
          </rPr>
          <t>John Browning:</t>
        </r>
        <r>
          <rPr>
            <sz val="10"/>
            <color rgb="FF000000"/>
            <rFont val="Tahoma"/>
            <family val="2"/>
          </rPr>
          <t xml:space="preserve">
</t>
        </r>
        <r>
          <rPr>
            <sz val="10"/>
            <color rgb="FF000000"/>
            <rFont val="Tahoma"/>
            <family val="2"/>
          </rPr>
          <t xml:space="preserve">Assume 250 days per year and 1.5 peaking factor
</t>
        </r>
      </text>
    </comment>
    <comment ref="B107" authorId="0" shapeId="0" xr:uid="{E9D06592-AAC2-DC47-A32E-A7DF56ACCD3D}">
      <text>
        <r>
          <rPr>
            <b/>
            <sz val="9"/>
            <color indexed="81"/>
            <rFont val="Calibri"/>
            <family val="2"/>
          </rPr>
          <t>John Browning:</t>
        </r>
        <r>
          <rPr>
            <sz val="9"/>
            <color indexed="81"/>
            <rFont val="Calibri"/>
            <family val="2"/>
          </rPr>
          <t xml:space="preserve">
0.003 kg/MMBtu
0.138 MMBtu/gal
GWP = 25
Emission Factor in RR appears incorrect</t>
        </r>
      </text>
    </comment>
    <comment ref="B108" authorId="0" shapeId="0" xr:uid="{4FF036D5-BEB9-694A-8483-2A4EA6858E61}">
      <text>
        <r>
          <rPr>
            <b/>
            <sz val="9"/>
            <color indexed="81"/>
            <rFont val="Calibri"/>
            <family val="2"/>
          </rPr>
          <t>John Browning:</t>
        </r>
        <r>
          <rPr>
            <sz val="9"/>
            <color indexed="81"/>
            <rFont val="Calibri"/>
            <family val="2"/>
          </rPr>
          <t xml:space="preserve">
073.96 kg/MMBtu
0.138 MMBtu/gal
</t>
        </r>
      </text>
    </comment>
    <comment ref="B109" authorId="0" shapeId="0" xr:uid="{655A3413-68A2-D841-9E10-B41745CB1470}">
      <text>
        <r>
          <rPr>
            <b/>
            <sz val="9"/>
            <color indexed="81"/>
            <rFont val="Calibri"/>
            <family val="2"/>
          </rPr>
          <t>John Browning:</t>
        </r>
        <r>
          <rPr>
            <sz val="9"/>
            <color indexed="81"/>
            <rFont val="Calibri"/>
            <family val="2"/>
          </rPr>
          <t xml:space="preserve">
0.0006 kg/MMBtu
0.138 MMBtu/gal
GWP = 298
Emission Factor in RR appears incorrect</t>
        </r>
      </text>
    </comment>
    <comment ref="B159" authorId="0" shapeId="0" xr:uid="{7489A2BC-544C-2241-97A0-F3A637E91F42}">
      <text>
        <r>
          <rPr>
            <b/>
            <sz val="9"/>
            <color indexed="81"/>
            <rFont val="Calibri"/>
            <family val="2"/>
          </rPr>
          <t>John Browning:</t>
        </r>
        <r>
          <rPr>
            <sz val="9"/>
            <color indexed="81"/>
            <rFont val="Calibri"/>
            <family val="2"/>
          </rPr>
          <t xml:space="preserve">
0.003 kg/MMBtu
0.138 MMBtu/gal
GWP = 25
Emission Factor in RR appears incorrect</t>
        </r>
      </text>
    </comment>
    <comment ref="B160" authorId="0" shapeId="0" xr:uid="{C37B2DA0-DD26-E648-BA41-7EF49D0E4D87}">
      <text>
        <r>
          <rPr>
            <b/>
            <sz val="9"/>
            <color indexed="81"/>
            <rFont val="Calibri"/>
            <family val="2"/>
          </rPr>
          <t>John Browning:</t>
        </r>
        <r>
          <rPr>
            <sz val="9"/>
            <color indexed="81"/>
            <rFont val="Calibri"/>
            <family val="2"/>
          </rPr>
          <t xml:space="preserve">
073.96 kg/MMBtu
0.138 MMBtu/gal
</t>
        </r>
      </text>
    </comment>
    <comment ref="B161" authorId="0" shapeId="0" xr:uid="{97D4F0C5-12AC-4F4A-90B8-C2C1F816B015}">
      <text>
        <r>
          <rPr>
            <b/>
            <sz val="9"/>
            <color indexed="81"/>
            <rFont val="Calibri"/>
            <family val="2"/>
          </rPr>
          <t>John Browning:</t>
        </r>
        <r>
          <rPr>
            <sz val="9"/>
            <color indexed="81"/>
            <rFont val="Calibri"/>
            <family val="2"/>
          </rPr>
          <t xml:space="preserve">
0.0006 kg/MMBtu
0.138 MMBtu/gal
GWP = 298
Emission Factor in RR appears incorrect</t>
        </r>
      </text>
    </comment>
  </commentList>
</comments>
</file>

<file path=xl/sharedStrings.xml><?xml version="1.0" encoding="utf-8"?>
<sst xmlns="http://schemas.openxmlformats.org/spreadsheetml/2006/main" count="1998" uniqueCount="377">
  <si>
    <t>Reference</t>
  </si>
  <si>
    <t>75-07-0</t>
  </si>
  <si>
    <t>Acetaldehyde</t>
  </si>
  <si>
    <t>107-02-8</t>
  </si>
  <si>
    <t>Acrolein</t>
  </si>
  <si>
    <t>7429-90-5</t>
  </si>
  <si>
    <t>7664-41-7</t>
  </si>
  <si>
    <t>Ammonia</t>
  </si>
  <si>
    <t>7440-38-2</t>
  </si>
  <si>
    <t>Arsenic and compounds</t>
  </si>
  <si>
    <t>7440-39-3</t>
  </si>
  <si>
    <t>Barium and compounds</t>
  </si>
  <si>
    <t>71-43-2</t>
  </si>
  <si>
    <t>Benzene</t>
  </si>
  <si>
    <t>50-32-8</t>
  </si>
  <si>
    <t>Benzo[a]pyrene</t>
  </si>
  <si>
    <t>7440-41-7</t>
  </si>
  <si>
    <t>Beryllium and compounds</t>
  </si>
  <si>
    <t>7440-43-9</t>
  </si>
  <si>
    <t>Cadmium and compounds</t>
  </si>
  <si>
    <t>18540-29-9</t>
  </si>
  <si>
    <t>Chromium VI, chromate and dichromate particulate</t>
  </si>
  <si>
    <t>7440-48-4</t>
  </si>
  <si>
    <t>Cobalt and compounds</t>
  </si>
  <si>
    <t>7440-50-8</t>
  </si>
  <si>
    <t>Copper and compounds</t>
  </si>
  <si>
    <t>100-41-4</t>
  </si>
  <si>
    <t>Ethyl benzene</t>
  </si>
  <si>
    <t>111-76-2</t>
  </si>
  <si>
    <t>50-00-0</t>
  </si>
  <si>
    <t>Formaldehyde</t>
  </si>
  <si>
    <t>110-54-3</t>
  </si>
  <si>
    <t>Hexane</t>
  </si>
  <si>
    <t>7664-39-3</t>
  </si>
  <si>
    <t>7439-92-1</t>
  </si>
  <si>
    <t>Lead and compounds</t>
  </si>
  <si>
    <t>7439-96-5</t>
  </si>
  <si>
    <t>Manganese and compounds</t>
  </si>
  <si>
    <t>7439-97-6</t>
  </si>
  <si>
    <t>Mercury and compounds</t>
  </si>
  <si>
    <t>1313-27-5</t>
  </si>
  <si>
    <t>Molybdenum trioxide</t>
  </si>
  <si>
    <t>91-20-3</t>
  </si>
  <si>
    <t>Naphthalene</t>
  </si>
  <si>
    <t>7440-02-0</t>
  </si>
  <si>
    <t>Nickel compounds, insoluble</t>
  </si>
  <si>
    <t>7697-37-2</t>
  </si>
  <si>
    <t>7664-38-2</t>
  </si>
  <si>
    <t>Polycyclic aromatic hydrocarbons (PAHs)</t>
  </si>
  <si>
    <t>107-98-2</t>
  </si>
  <si>
    <t>78-92-2</t>
  </si>
  <si>
    <t>7782-49-2</t>
  </si>
  <si>
    <t>Selenium and compounds</t>
  </si>
  <si>
    <t>108-88-3</t>
  </si>
  <si>
    <t>Toluene</t>
  </si>
  <si>
    <t>7440-62-2</t>
  </si>
  <si>
    <t>Vanadium (fume or dust)</t>
  </si>
  <si>
    <t>1330-20-7</t>
  </si>
  <si>
    <t>Xylene (mixture), including m-xylene, o-xylene, p-xylene</t>
  </si>
  <si>
    <t>7440-66-6</t>
  </si>
  <si>
    <t>Zinc and compounds</t>
  </si>
  <si>
    <t>lb/yr</t>
  </si>
  <si>
    <t>tpy</t>
  </si>
  <si>
    <t>Rating</t>
  </si>
  <si>
    <t>MMBtu/hr</t>
  </si>
  <si>
    <t>HHV Natural Gas</t>
  </si>
  <si>
    <t>Btu/ft3</t>
  </si>
  <si>
    <t>Max. Daily Operating Hours</t>
  </si>
  <si>
    <t>Max. Annual Operating Hours</t>
  </si>
  <si>
    <t>Max. Annual Natural Gas Usage</t>
  </si>
  <si>
    <t>MMBtu/yr</t>
  </si>
  <si>
    <t>MMCF/yr</t>
  </si>
  <si>
    <t>Annual Natural Gas Usage</t>
  </si>
  <si>
    <t>Daily Natural Gas Usage</t>
  </si>
  <si>
    <t>MMCF/day</t>
  </si>
  <si>
    <t>Criteria Pollutants(1)</t>
  </si>
  <si>
    <t>Pollutant</t>
  </si>
  <si>
    <t>Emission Factor (lb/MMCF)</t>
  </si>
  <si>
    <t>NOx</t>
  </si>
  <si>
    <t>CO</t>
  </si>
  <si>
    <t>VOC</t>
  </si>
  <si>
    <t>PM/PM10/PM2.5</t>
  </si>
  <si>
    <t>SO2</t>
  </si>
  <si>
    <t>(1) Emission factor from ODEQ, AQ-EF05</t>
  </si>
  <si>
    <t>Greenhouse Gases(2)</t>
  </si>
  <si>
    <t>Emission Factor (kg/MMBtu)</t>
  </si>
  <si>
    <t>CO2e</t>
  </si>
  <si>
    <t>(2) Emission factor from EPA, 40 CFR Part 98, Subpart C</t>
  </si>
  <si>
    <t>Toxic Air Contaminants (TACs)(3)</t>
  </si>
  <si>
    <t>CAS</t>
  </si>
  <si>
    <t>Total TACs</t>
  </si>
  <si>
    <t>Greenhouse Gases</t>
  </si>
  <si>
    <t>GHG-CH4</t>
  </si>
  <si>
    <t>mtCO2e/gal</t>
  </si>
  <si>
    <t>(3)</t>
  </si>
  <si>
    <t>MT</t>
  </si>
  <si>
    <t>GHG-CO2</t>
  </si>
  <si>
    <t>GHG-N20</t>
  </si>
  <si>
    <t>Hazardous Air Pollutants (HAPs)</t>
  </si>
  <si>
    <t>Short Tons</t>
  </si>
  <si>
    <t>lb/MMBtu</t>
  </si>
  <si>
    <t>(4)</t>
  </si>
  <si>
    <t>Xylenes</t>
  </si>
  <si>
    <t>Napthalene</t>
  </si>
  <si>
    <t>Total PAH</t>
  </si>
  <si>
    <t>Total HAPs</t>
  </si>
  <si>
    <t>(1) "Worst-case" emission factor derived from manufacturers specifications.</t>
  </si>
  <si>
    <t>(2) SCAQMD Reporting Procedures for AB2588 Table B-2 Default EF for Diesel/Distillate Oil Fuel Combustion</t>
  </si>
  <si>
    <t>(3) 40 CFR 98 Tbl. C-1, C-2</t>
  </si>
  <si>
    <t>(4) AP-42 Table 3.4-3</t>
  </si>
  <si>
    <t>MT = Metric Tons</t>
  </si>
  <si>
    <t>Potential Emissions from Non-Emergency Operations - Annual Summary</t>
  </si>
  <si>
    <t>GHG-CO2e</t>
  </si>
  <si>
    <t>HAPs</t>
  </si>
  <si>
    <t>ULSD Fuel Use</t>
  </si>
  <si>
    <t>gal/yr</t>
  </si>
  <si>
    <t>ULSD Heating Value</t>
  </si>
  <si>
    <t>Btu/gal</t>
  </si>
  <si>
    <t>Emission Factor</t>
  </si>
  <si>
    <t>Potential Emissions (tpy)</t>
  </si>
  <si>
    <t>Value</t>
  </si>
  <si>
    <t>Units</t>
  </si>
  <si>
    <t>Criteria Pollutants</t>
  </si>
  <si>
    <t>lb/gal</t>
  </si>
  <si>
    <t>(1)</t>
  </si>
  <si>
    <t>Lead</t>
  </si>
  <si>
    <t>lb/kgal</t>
  </si>
  <si>
    <t>(2)</t>
  </si>
  <si>
    <t>Potential Emissions from Emergency &amp; Non-Emergency Operations - Annual Summary</t>
  </si>
  <si>
    <t>Total Fuel Usage</t>
  </si>
  <si>
    <t>Expected Max. Annual Operating Capacity</t>
  </si>
  <si>
    <t>Emission Rate            (tpy)</t>
  </si>
  <si>
    <t>Single Unit</t>
  </si>
  <si>
    <t>Daily Emissions      (lb/day)</t>
  </si>
  <si>
    <t>Annual Emissions      (lb/yr)</t>
  </si>
  <si>
    <t>KN-16 boiler cut sheet says input capacity is 1600 MBH</t>
  </si>
  <si>
    <t># of units</t>
  </si>
  <si>
    <t>Response from Arcimoto is 3200 hr/yr at 15% (3200/8760 * .15 = 5.5% Rnd to 6%)</t>
  </si>
  <si>
    <t>Response from Arcimoto is 3200 hr/yr at 35% (3200/8760 * .35 = 12.7% Rnd to 13%)</t>
  </si>
  <si>
    <t>Response from Arcimoto run 1000 hr/yr at 30% capacity (1000/8760 * .3 = 3.4% round to 4%)</t>
  </si>
  <si>
    <t>Operating Information</t>
  </si>
  <si>
    <t>Type of Welding Process</t>
  </si>
  <si>
    <t>GMAW</t>
  </si>
  <si>
    <t>(Gas Metal Arc Welding)</t>
  </si>
  <si>
    <t>Electrode Type</t>
  </si>
  <si>
    <t>E70S</t>
  </si>
  <si>
    <t>Annual Electrode Consumption</t>
  </si>
  <si>
    <t>Daily Electrode Consumption</t>
  </si>
  <si>
    <t>PM10</t>
  </si>
  <si>
    <t>(1) AP-42  Table 12.19-1</t>
  </si>
  <si>
    <t>Nickel and compounds, insoluble</t>
  </si>
  <si>
    <t>lb/day</t>
  </si>
  <si>
    <t>Assumed annual operation</t>
  </si>
  <si>
    <t>Arcimoto</t>
  </si>
  <si>
    <t>--</t>
  </si>
  <si>
    <t>From SD PPD_210430.pdf page 3 of project description (page 31 of pdf)</t>
  </si>
  <si>
    <t>AquaEC 5100</t>
  </si>
  <si>
    <t>Annual Emission lb/yr</t>
  </si>
  <si>
    <t>Annual Emission tpy</t>
  </si>
  <si>
    <t>Daily Emission lb/day</t>
  </si>
  <si>
    <t>Criteria Pollutant</t>
  </si>
  <si>
    <t>Coating Use Information</t>
  </si>
  <si>
    <t>Coating Emissions</t>
  </si>
  <si>
    <t>Tank Process Name</t>
  </si>
  <si>
    <t>Tank #</t>
  </si>
  <si>
    <r>
      <t>Surface Tension, σ (lb</t>
    </r>
    <r>
      <rPr>
        <vertAlign val="subscript"/>
        <sz val="11"/>
        <color rgb="FF000000"/>
        <rFont val="Calibri"/>
        <family val="2"/>
        <scheme val="minor"/>
      </rPr>
      <t>f</t>
    </r>
    <r>
      <rPr>
        <sz val="11"/>
        <color rgb="FF000000"/>
        <rFont val="Calibri"/>
        <family val="2"/>
        <scheme val="minor"/>
      </rPr>
      <t>/ft)</t>
    </r>
  </si>
  <si>
    <r>
      <t>Average Bubble Radius, R</t>
    </r>
    <r>
      <rPr>
        <vertAlign val="subscript"/>
        <sz val="11"/>
        <color rgb="FF000000"/>
        <rFont val="Calibri"/>
        <family val="2"/>
        <scheme val="minor"/>
      </rPr>
      <t>b</t>
    </r>
    <r>
      <rPr>
        <sz val="11"/>
        <color rgb="FF000000"/>
        <rFont val="Calibri"/>
        <family val="2"/>
        <scheme val="minor"/>
      </rPr>
      <t xml:space="preserve"> (Inches)</t>
    </r>
  </si>
  <si>
    <r>
      <t>Factor, a (0.072 R</t>
    </r>
    <r>
      <rPr>
        <vertAlign val="subscript"/>
        <sz val="11"/>
        <color rgb="FF000000"/>
        <rFont val="Calibri"/>
        <family val="2"/>
        <scheme val="minor"/>
      </rPr>
      <t>b</t>
    </r>
    <r>
      <rPr>
        <vertAlign val="superscript"/>
        <sz val="11"/>
        <color rgb="FF000000"/>
        <rFont val="Calibri"/>
        <family val="2"/>
        <scheme val="minor"/>
      </rPr>
      <t>2</t>
    </r>
    <r>
      <rPr>
        <sz val="11"/>
        <color rgb="FF000000"/>
        <rFont val="Calibri"/>
        <family val="2"/>
        <scheme val="minor"/>
      </rPr>
      <t>/σ)</t>
    </r>
  </si>
  <si>
    <r>
      <t>Tank Liquid Emission Rate (grains/ft</t>
    </r>
    <r>
      <rPr>
        <vertAlign val="superscript"/>
        <sz val="11"/>
        <color rgb="FF000000"/>
        <rFont val="Calibri"/>
        <family val="2"/>
        <scheme val="minor"/>
      </rPr>
      <t>3</t>
    </r>
    <r>
      <rPr>
        <sz val="11"/>
        <color rgb="FF000000"/>
        <rFont val="Calibri"/>
        <family val="2"/>
        <scheme val="minor"/>
      </rPr>
      <t>-aeration air)</t>
    </r>
  </si>
  <si>
    <r>
      <t>Aeration Rate (cfm/ft</t>
    </r>
    <r>
      <rPr>
        <vertAlign val="superscript"/>
        <sz val="11"/>
        <color rgb="FF000000"/>
        <rFont val="Calibri"/>
        <family val="2"/>
        <scheme val="minor"/>
      </rPr>
      <t>2</t>
    </r>
    <r>
      <rPr>
        <sz val="11"/>
        <color rgb="FF000000"/>
        <rFont val="Calibri"/>
        <family val="2"/>
        <scheme val="minor"/>
      </rPr>
      <t>)</t>
    </r>
  </si>
  <si>
    <r>
      <t>Tank Surface Area (ft</t>
    </r>
    <r>
      <rPr>
        <vertAlign val="superscript"/>
        <sz val="11"/>
        <color rgb="FF000000"/>
        <rFont val="Calibri"/>
        <family val="2"/>
        <scheme val="minor"/>
      </rPr>
      <t>2</t>
    </r>
    <r>
      <rPr>
        <sz val="11"/>
        <color rgb="FF000000"/>
        <rFont val="Calibri"/>
        <family val="2"/>
        <scheme val="minor"/>
      </rPr>
      <t>)</t>
    </r>
  </si>
  <si>
    <t>Chemical Emission Rate           (lb/hr)</t>
  </si>
  <si>
    <t>Chemical Emission Rate           (lb/yr)</t>
  </si>
  <si>
    <t>Operating Hrs</t>
  </si>
  <si>
    <t>hrs/yr</t>
  </si>
  <si>
    <t>Bonderite NP-2</t>
  </si>
  <si>
    <t>Prepalene X</t>
  </si>
  <si>
    <t>Bonderite M-NT2</t>
  </si>
  <si>
    <t>Bonderite 3410</t>
  </si>
  <si>
    <t>Pretreatment Baths</t>
  </si>
  <si>
    <t>Zinc Option</t>
  </si>
  <si>
    <t>Alkaline Clean</t>
  </si>
  <si>
    <t>Stage 2</t>
  </si>
  <si>
    <t>Additive</t>
  </si>
  <si>
    <t>Conditioner</t>
  </si>
  <si>
    <t>Stage 5</t>
  </si>
  <si>
    <t>Zinc Pretreat</t>
  </si>
  <si>
    <t>Stage 6</t>
  </si>
  <si>
    <t>Bonderite M-AD 131</t>
  </si>
  <si>
    <t>no TACs</t>
  </si>
  <si>
    <t>Nano Option</t>
  </si>
  <si>
    <t>Nano Pretreat</t>
  </si>
  <si>
    <t>Pretreat Option</t>
  </si>
  <si>
    <t>CAS
 (See Note 2)</t>
  </si>
  <si>
    <t>zinc orthophosphate</t>
  </si>
  <si>
    <t>nickel nitrate</t>
  </si>
  <si>
    <t>phophoric acid</t>
  </si>
  <si>
    <t>Chemical Weight % In Additive</t>
  </si>
  <si>
    <t>hydrogen fluoride</t>
  </si>
  <si>
    <t>Additive Concentration in Bath 
(gal/100 gal)</t>
  </si>
  <si>
    <t>zinc nitrate</t>
  </si>
  <si>
    <t>zinc dihydrogen phosphate</t>
  </si>
  <si>
    <t>Additive Density
(lb/gal)</t>
  </si>
  <si>
    <t>Tank Liquid Emission Rate (lb/hr)</t>
  </si>
  <si>
    <t>Chemical Concentration (lb/gal)</t>
  </si>
  <si>
    <t>Resin</t>
  </si>
  <si>
    <t>1-methoxy-2-propanol</t>
  </si>
  <si>
    <t>Chemical Molecular Weight (MW)</t>
  </si>
  <si>
    <t>K (ft/sec)</t>
  </si>
  <si>
    <t>R 
(psia-ft3/oR-lb-mole)</t>
  </si>
  <si>
    <t>A-Surface Area (ft2)</t>
  </si>
  <si>
    <t>T- Temperature 
(oR)</t>
  </si>
  <si>
    <t>Pigment paste</t>
  </si>
  <si>
    <t>U-Wind Speed (mph)</t>
  </si>
  <si>
    <t>W
(lb/sec)</t>
  </si>
  <si>
    <t>Emission (lb/yr)</t>
  </si>
  <si>
    <t>Chemical Emission (lb/hr)</t>
  </si>
  <si>
    <t>Chemical Emission (lb/yr)</t>
  </si>
  <si>
    <t>Operating Hours</t>
  </si>
  <si>
    <t>hr/yr</t>
  </si>
  <si>
    <t>Pigment</t>
  </si>
  <si>
    <t>Flow additive</t>
  </si>
  <si>
    <t>Flow Additive</t>
  </si>
  <si>
    <t>Chemical</t>
  </si>
  <si>
    <t>Density (lb/gal)</t>
  </si>
  <si>
    <t>butan-2-ol</t>
  </si>
  <si>
    <t>2-butoxyethanol</t>
  </si>
  <si>
    <t>Using EPA emission equation from EIIP Volume II, Chapter 6- Semiconductor MFG, Equation 6.5-5, page 6.5-6 and -7:</t>
  </si>
  <si>
    <t>Wx = Evaporation rate of pollutant x (lb/sec)</t>
  </si>
  <si>
    <t>MWx = molecular weight of pollutant x (lb/lb-mole)</t>
  </si>
  <si>
    <r>
      <t xml:space="preserve">K = gas phase mass transfer coefficient (ft/sec)= 0.00438 * U </t>
    </r>
    <r>
      <rPr>
        <vertAlign val="superscript"/>
        <sz val="12"/>
        <color theme="1"/>
        <rFont val="Calibri (Body)"/>
      </rPr>
      <t>0.78</t>
    </r>
    <r>
      <rPr>
        <sz val="12"/>
        <color theme="1"/>
        <rFont val="Calibri"/>
        <family val="2"/>
        <scheme val="minor"/>
      </rPr>
      <t xml:space="preserve"> * (18/MWx)</t>
    </r>
    <r>
      <rPr>
        <vertAlign val="superscript"/>
        <sz val="12"/>
        <color theme="1"/>
        <rFont val="Calibri (Body)"/>
      </rPr>
      <t>1/3</t>
    </r>
  </si>
  <si>
    <t>U = wind speed (mph)</t>
  </si>
  <si>
    <t>A - surface area (square ft)</t>
  </si>
  <si>
    <t>R = ideal gas constant= 10.73</t>
  </si>
  <si>
    <t>T = Temperature (oR)</t>
  </si>
  <si>
    <t xml:space="preserve">Wx = (MWx * K * A * Pvapx)/(R*T)  </t>
  </si>
  <si>
    <t>where:</t>
  </si>
  <si>
    <t>hr/day</t>
  </si>
  <si>
    <t>Emission (lb/day)</t>
  </si>
  <si>
    <t>Chemical Emission (lb/day)</t>
  </si>
  <si>
    <t>Chemical Emission Rate           (lb/day)</t>
  </si>
  <si>
    <t>Chemical Weight % in component</t>
  </si>
  <si>
    <t>Coating Component</t>
  </si>
  <si>
    <t>Wt Percent of Component</t>
  </si>
  <si>
    <t>2-butanol</t>
  </si>
  <si>
    <t>Zinc Pretreat Option Total TACs</t>
  </si>
  <si>
    <t>Assume all TAC in flow additive comes off in coating bath</t>
  </si>
  <si>
    <t>Total TACs from Ecoat bath</t>
  </si>
  <si>
    <t>Total TAC from Coating Oven</t>
  </si>
  <si>
    <t>Chemical/TAC Pollutant</t>
  </si>
  <si>
    <t>Pvapx - vapor pressure of pollutant x (psia)</t>
  </si>
  <si>
    <t>P vapx 
(psia)</t>
  </si>
  <si>
    <t>Electrocoating Stage (Stage 8 or Stage 9 in coating line depending on Pretreatment option used)</t>
  </si>
  <si>
    <t>AquaEC 5100 Coating Component</t>
  </si>
  <si>
    <t>Chemical/ TAC Pollutant</t>
  </si>
  <si>
    <t>Toxic Air Contaminants (TACs)</t>
  </si>
  <si>
    <t>* 2.64 gal resin to 1 gal pigment</t>
  </si>
  <si>
    <t>ammonium nitrate</t>
  </si>
  <si>
    <t>6482-52-2</t>
  </si>
  <si>
    <t>16 units</t>
  </si>
  <si>
    <t>7 units</t>
  </si>
  <si>
    <t>2 units</t>
  </si>
  <si>
    <t>zinc</t>
  </si>
  <si>
    <t>Controlled lb/1000 lb electrode</t>
  </si>
  <si>
    <t>Emission Factor(1) (lb/1000 lb electrode)</t>
  </si>
  <si>
    <t>lb/1000 lb electrode (2)</t>
  </si>
  <si>
    <t>Bonderite M-AD 700</t>
  </si>
  <si>
    <t>Bonderite C-IC 2520</t>
  </si>
  <si>
    <t>nitric acid</t>
  </si>
  <si>
    <t>Tons/yr</t>
  </si>
  <si>
    <t>Emission Total</t>
  </si>
  <si>
    <t>* 100% VOC in coating calculated as being emitted from Coating Oven</t>
  </si>
  <si>
    <t>CIA Emissions Total</t>
  </si>
  <si>
    <t>Toxic Air Contaminants</t>
  </si>
  <si>
    <t>H</t>
  </si>
  <si>
    <t>Hazardous Air Pollutants</t>
  </si>
  <si>
    <t>Emission Sources</t>
  </si>
  <si>
    <t>Pretreatment Heater Stage 2 (H2)</t>
  </si>
  <si>
    <t>Coating Oven (CO1)</t>
  </si>
  <si>
    <t>Coating Line Baths (CL1)*</t>
  </si>
  <si>
    <t>Welding (W1)</t>
  </si>
  <si>
    <t>Building F Domestic Hot Water Heaters (B2)</t>
  </si>
  <si>
    <t>Pretreatment Heater Stage 1 (H1)</t>
  </si>
  <si>
    <t>Back-up Condensing Boiler 
(B1)</t>
  </si>
  <si>
    <t>Infrared Radiant Heating Units 
(H4)</t>
  </si>
  <si>
    <t>Coating Oven- Burner 
(H3)</t>
  </si>
  <si>
    <t>Natural Gas-Fired Categorically Insignificant Activities (CIA)</t>
  </si>
  <si>
    <t>Table 3-1: Emissions from Pretreatment Heater Stage 2 (H2)</t>
  </si>
  <si>
    <t>Number of units</t>
  </si>
  <si>
    <t>Table 3-2: Emissions from Coating Oven Burner (H3)</t>
  </si>
  <si>
    <t>Table 3-3: Emissions from Coating Oven (CO1)</t>
  </si>
  <si>
    <t>Table 3-4: Emissions from Coating Line Baths (CL1)</t>
  </si>
  <si>
    <t>Table 3-5: Emissions from Welding (W1)</t>
  </si>
  <si>
    <t>Table 3-6: Emissions from Backup Condensing Boiler (B1)</t>
  </si>
  <si>
    <t>Table 3-7: Emissions from Building F Hot Water Heaters (B2)</t>
  </si>
  <si>
    <t>Table 3-8: Emissions from Pretreatment Heater Stage 1 (H1)</t>
  </si>
  <si>
    <t>Table 3-9: Emissions from Infrared Heaters (H4)</t>
  </si>
  <si>
    <t>Table 3-11: Emission Summary for Natural Gas-Fired Categorically Insignificant Activities</t>
  </si>
  <si>
    <t>Table 3-10: Plant Site Emission Summary</t>
  </si>
  <si>
    <t>MWAF     (see Note 3)</t>
  </si>
  <si>
    <t>Coating Usage gal/yr</t>
  </si>
  <si>
    <t>Coating Density (lb/gal)</t>
  </si>
  <si>
    <t>VOC Content by wt. (%)</t>
  </si>
  <si>
    <t>Total VOC</t>
  </si>
  <si>
    <t>Vapor Pressure Documentation:</t>
  </si>
  <si>
    <t>https://pubchem.ncbi.nlm.nih.gov/compound/1-Methoxy-2-propanol#section=Vapor-Pressure</t>
  </si>
  <si>
    <t>(12.5 mm Hg @ 25C)</t>
  </si>
  <si>
    <t>(18.3 mm Hg @ 25C)</t>
  </si>
  <si>
    <t>https://pubchem.ncbi.nlm.nih.gov/compound/6568#section=Vapor-Pressure</t>
  </si>
  <si>
    <t xml:space="preserve">2-butoxyethanol	</t>
  </si>
  <si>
    <t>https://pubchem.ncbi.nlm.nih.gov/compound/8133#section=Vapor-Pressure</t>
  </si>
  <si>
    <t>(0.88 mm Hg @ 25C)</t>
  </si>
  <si>
    <t>Emission Detail Sheets</t>
  </si>
  <si>
    <r>
      <t>PM/PM</t>
    </r>
    <r>
      <rPr>
        <b/>
        <vertAlign val="subscript"/>
        <sz val="11"/>
        <color theme="1"/>
        <rFont val="Calibri"/>
        <family val="2"/>
        <scheme val="minor"/>
      </rPr>
      <t>10</t>
    </r>
    <r>
      <rPr>
        <b/>
        <sz val="11"/>
        <color theme="1"/>
        <rFont val="Calibri"/>
        <family val="2"/>
        <scheme val="minor"/>
      </rPr>
      <t>/PM</t>
    </r>
    <r>
      <rPr>
        <b/>
        <vertAlign val="subscript"/>
        <sz val="11"/>
        <color theme="1"/>
        <rFont val="Calibri"/>
        <family val="2"/>
        <scheme val="minor"/>
      </rPr>
      <t>2.5</t>
    </r>
    <r>
      <rPr>
        <b/>
        <sz val="11"/>
        <color theme="1"/>
        <rFont val="Calibri"/>
        <family val="2"/>
        <scheme val="minor"/>
      </rPr>
      <t xml:space="preserve"> Emissions</t>
    </r>
  </si>
  <si>
    <t>Unit Identification</t>
  </si>
  <si>
    <t xml:space="preserve">Cutting Technique </t>
  </si>
  <si>
    <t xml:space="preserve">Metal Type                     </t>
  </si>
  <si>
    <t>Metal Thickness (Inches)</t>
  </si>
  <si>
    <t>Kerf (Inches)</t>
  </si>
  <si>
    <t>Metal Cutting Speed (IPM)</t>
  </si>
  <si>
    <t>Control Device Type</t>
  </si>
  <si>
    <t xml:space="preserve">% Control Efficiency </t>
  </si>
  <si>
    <t>Specific Gravity</t>
  </si>
  <si>
    <r>
      <t>Density Conversion (lb/in</t>
    </r>
    <r>
      <rPr>
        <vertAlign val="superscript"/>
        <sz val="11"/>
        <color theme="1"/>
        <rFont val="Calibri"/>
        <family val="2"/>
        <scheme val="minor"/>
      </rPr>
      <t>3</t>
    </r>
    <r>
      <rPr>
        <sz val="11"/>
        <color theme="1"/>
        <rFont val="Calibri"/>
        <family val="2"/>
        <scheme val="minor"/>
      </rPr>
      <t>)</t>
    </r>
  </si>
  <si>
    <t>Fume Generated (% of Particulate Generated)</t>
  </si>
  <si>
    <r>
      <t>PM/PM</t>
    </r>
    <r>
      <rPr>
        <vertAlign val="subscript"/>
        <sz val="11"/>
        <color theme="1"/>
        <rFont val="Calibri"/>
        <family val="2"/>
        <scheme val="minor"/>
      </rPr>
      <t>2.5</t>
    </r>
    <r>
      <rPr>
        <sz val="11"/>
        <color theme="1"/>
        <rFont val="Calibri"/>
        <family val="2"/>
        <scheme val="minor"/>
      </rPr>
      <t>/PM</t>
    </r>
    <r>
      <rPr>
        <vertAlign val="subscript"/>
        <sz val="11"/>
        <color theme="1"/>
        <rFont val="Calibri"/>
        <family val="2"/>
        <scheme val="minor"/>
      </rPr>
      <t>10</t>
    </r>
    <r>
      <rPr>
        <sz val="11"/>
        <color theme="1"/>
        <rFont val="Calibri"/>
        <family val="2"/>
        <scheme val="minor"/>
      </rPr>
      <t xml:space="preserve"> Emission Factor (lb/inch)</t>
    </r>
  </si>
  <si>
    <t>Metal Feed Rate (IPH)</t>
  </si>
  <si>
    <t>Uncontrolled Emissions (lb/hr)</t>
  </si>
  <si>
    <t>Potential Emissions (lb/hr)</t>
  </si>
  <si>
    <t>Uncontrolled Emissions (TPY)</t>
  </si>
  <si>
    <t>Potential Emissions (TPY)</t>
  </si>
  <si>
    <t>Dry</t>
  </si>
  <si>
    <t>Total =</t>
  </si>
  <si>
    <t>HAP/TAC Emissions</t>
  </si>
  <si>
    <t>CAS No.</t>
  </si>
  <si>
    <t>Fume Percent</t>
  </si>
  <si>
    <t>Copper</t>
  </si>
  <si>
    <t>Fume Generation Rate/Specific Gravity Table</t>
  </si>
  <si>
    <t>Metal</t>
  </si>
  <si>
    <t>Semidry</t>
  </si>
  <si>
    <t>Wet</t>
  </si>
  <si>
    <t>Mild Steel, 8mm</t>
  </si>
  <si>
    <t>Notes:</t>
  </si>
  <si>
    <t>Emissions are based on "Emission of Fume, Nitrogen Oxides and Noise in Plasma Cutting of Stainless and Mild Steel" by Bromsen B. et al. (1994)</t>
  </si>
  <si>
    <t>Mild steel fume is 67-73% iron, 2-10% manganese, and ND-1.4% copper.</t>
  </si>
  <si>
    <t>310 stainless steel fume is 25.4% iron, 4.4% manganese, 10.3% nickel, and 20.2% chromium(VI).</t>
  </si>
  <si>
    <t>L1-Steel</t>
  </si>
  <si>
    <t>Steel</t>
  </si>
  <si>
    <t>Aluminum</t>
  </si>
  <si>
    <t>Dust Collector</t>
  </si>
  <si>
    <t>Potential emissions assume 24 hours per day and 8760 hours per year of operation.  Typical maximum operating hours will be 8 hrs/day and 2000 hours per year.</t>
  </si>
  <si>
    <t>Study referenced above did not evaluate fiber laser cutting or cutting of copper and aluminum.</t>
  </si>
  <si>
    <t xml:space="preserve">Fume generation rate of copper and aluminum assumed to be the same as mild steel.  </t>
  </si>
  <si>
    <t>This assumption is reasonable because a fiber optic laser is expected to generate lower emissions than the high energy and high heat plasma type cutting system evaluated in the study.</t>
  </si>
  <si>
    <t>Manganese and Compounds</t>
  </si>
  <si>
    <t>Aluminum and Compounds</t>
  </si>
  <si>
    <t>Copper and Compounds - Mild Steel</t>
  </si>
  <si>
    <t>Copper and Compounds - Copper</t>
  </si>
  <si>
    <t>Copper and Compounds - Total</t>
  </si>
  <si>
    <t>CAO Potential Emissions (lb/day)</t>
  </si>
  <si>
    <t>CAO Potential Emissions (lb/yr)</t>
  </si>
  <si>
    <t>L1-Copper</t>
  </si>
  <si>
    <t>L1- Aluminum</t>
  </si>
  <si>
    <t>Fiber Laser Cutters (L1)</t>
  </si>
  <si>
    <r>
      <t>Density (g/cm</t>
    </r>
    <r>
      <rPr>
        <vertAlign val="superscript"/>
        <sz val="11"/>
        <color theme="1"/>
        <rFont val="Calibri"/>
        <family val="2"/>
        <scheme val="minor"/>
      </rPr>
      <t>3</t>
    </r>
    <r>
      <rPr>
        <sz val="11"/>
        <color theme="1"/>
        <rFont val="Calibri"/>
        <family val="2"/>
        <scheme val="minor"/>
      </rPr>
      <t>)</t>
    </r>
  </si>
  <si>
    <t>Coating* Usage</t>
  </si>
  <si>
    <t>gal/day</t>
  </si>
  <si>
    <t>(Resin &amp; Pigment)</t>
  </si>
  <si>
    <t>(Flow Additive)</t>
  </si>
  <si>
    <t>Daily Peaking Factors</t>
  </si>
  <si>
    <t>Coating Usage gal/day</t>
  </si>
  <si>
    <t>Capture Efficiency</t>
  </si>
  <si>
    <t>Filter Removal Efficiency</t>
  </si>
  <si>
    <t>Building Control Factor</t>
  </si>
  <si>
    <t>Overall Particulate Removal Efficiency and Attenuation</t>
  </si>
  <si>
    <t>Building Control Factor (%)</t>
  </si>
  <si>
    <t>Laser Cutting (L1)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</si>
</sst>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_(* \(#,##0.00\);_(* &quot;-&quot;??_);_(@_)"/>
    <numFmt numFmtId="164" formatCode="0.0"/>
    <numFmt numFmtId="165" formatCode="0.000"/>
    <numFmt numFmtId="166" formatCode="0.00000"/>
    <numFmt numFmtId="167" formatCode="0.0000"/>
    <numFmt numFmtId="168" formatCode="0.0%"/>
    <numFmt numFmtId="169" formatCode="#,##0.000"/>
    <numFmt numFmtId="170" formatCode="#,##0.0000"/>
    <numFmt numFmtId="171" formatCode="0.000000"/>
  </numFmts>
  <fonts count="44" x14ac:knownFonts="1">
    <font>
      <sz val="12"/>
      <color theme="1"/>
      <name val="Calibri"/>
      <family val="2"/>
      <scheme val="minor"/>
    </font>
    <font>
      <sz val="12"/>
      <color rgb="FFFF0000"/>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sz val="8"/>
      <name val="Calibri"/>
      <family val="2"/>
      <scheme val="minor"/>
    </font>
    <font>
      <sz val="12"/>
      <name val="Calibri"/>
      <family val="2"/>
      <scheme val="minor"/>
    </font>
    <font>
      <sz val="11"/>
      <color theme="1"/>
      <name val="Calibri"/>
      <family val="2"/>
      <scheme val="minor"/>
    </font>
    <font>
      <sz val="11"/>
      <color rgb="FF000000"/>
      <name val="Calibri"/>
      <family val="2"/>
      <scheme val="minor"/>
    </font>
    <font>
      <sz val="12"/>
      <color theme="1"/>
      <name val="Calibri"/>
      <family val="2"/>
      <scheme val="minor"/>
    </font>
    <font>
      <b/>
      <sz val="16"/>
      <color rgb="FF000000"/>
      <name val="Calibri"/>
      <family val="2"/>
      <scheme val="minor"/>
    </font>
    <font>
      <sz val="10"/>
      <name val="Arial"/>
      <family val="2"/>
    </font>
    <font>
      <b/>
      <sz val="12"/>
      <color rgb="FF0070C0"/>
      <name val="Arial"/>
      <family val="2"/>
    </font>
    <font>
      <b/>
      <sz val="14"/>
      <name val="Arial"/>
      <family val="2"/>
    </font>
    <font>
      <b/>
      <sz val="12"/>
      <name val="Calibri"/>
      <family val="2"/>
      <scheme val="minor"/>
    </font>
    <font>
      <i/>
      <sz val="12"/>
      <color theme="1"/>
      <name val="Calibri"/>
      <family val="2"/>
      <scheme val="minor"/>
    </font>
    <font>
      <b/>
      <sz val="26"/>
      <color theme="1"/>
      <name val="Calibri"/>
      <family val="2"/>
      <scheme val="minor"/>
    </font>
    <font>
      <sz val="10"/>
      <color rgb="FF000000"/>
      <name val="Times New Roman"/>
      <family val="1"/>
    </font>
    <font>
      <u/>
      <sz val="12"/>
      <color theme="1"/>
      <name val="Calibri"/>
      <family val="2"/>
      <scheme val="minor"/>
    </font>
    <font>
      <sz val="18"/>
      <color rgb="FF0000FF"/>
      <name val="Calibri"/>
      <family val="2"/>
      <scheme val="minor"/>
    </font>
    <font>
      <b/>
      <sz val="9"/>
      <color indexed="81"/>
      <name val="Calibri"/>
      <family val="2"/>
    </font>
    <font>
      <sz val="9"/>
      <color indexed="81"/>
      <name val="Calibri"/>
      <family val="2"/>
    </font>
    <font>
      <sz val="10"/>
      <color rgb="FF000000"/>
      <name val="Tahoma"/>
      <family val="2"/>
    </font>
    <font>
      <b/>
      <sz val="10"/>
      <color rgb="FF000000"/>
      <name val="Tahoma"/>
      <family val="2"/>
    </font>
    <font>
      <vertAlign val="subscript"/>
      <sz val="11"/>
      <color rgb="FF000000"/>
      <name val="Calibri"/>
      <family val="2"/>
      <scheme val="minor"/>
    </font>
    <font>
      <vertAlign val="superscript"/>
      <sz val="11"/>
      <color rgb="FF000000"/>
      <name val="Calibri"/>
      <family val="2"/>
      <scheme val="minor"/>
    </font>
    <font>
      <b/>
      <sz val="16"/>
      <color theme="1"/>
      <name val="Arial"/>
      <family val="2"/>
    </font>
    <font>
      <b/>
      <u/>
      <sz val="14"/>
      <color theme="1"/>
      <name val="Calibri"/>
      <family val="2"/>
      <scheme val="minor"/>
    </font>
    <font>
      <sz val="11"/>
      <color theme="1"/>
      <name val="Calibri (Body)"/>
    </font>
    <font>
      <vertAlign val="superscript"/>
      <sz val="12"/>
      <color theme="1"/>
      <name val="Calibri (Body)"/>
    </font>
    <font>
      <sz val="10"/>
      <color rgb="FF000000"/>
      <name val="Calibri"/>
      <family val="2"/>
    </font>
    <font>
      <b/>
      <i/>
      <sz val="12"/>
      <color theme="1"/>
      <name val="Calibri"/>
      <family val="2"/>
      <scheme val="minor"/>
    </font>
    <font>
      <strike/>
      <sz val="12"/>
      <color theme="1"/>
      <name val="Calibri"/>
      <family val="2"/>
      <scheme val="minor"/>
    </font>
    <font>
      <u/>
      <sz val="12"/>
      <color theme="10"/>
      <name val="Calibri"/>
      <family val="2"/>
      <scheme val="minor"/>
    </font>
    <font>
      <sz val="11"/>
      <color theme="1"/>
      <name val="Calibri"/>
      <family val="2"/>
    </font>
    <font>
      <b/>
      <sz val="11"/>
      <color theme="1"/>
      <name val="Calibri"/>
      <family val="2"/>
      <scheme val="minor"/>
    </font>
    <font>
      <b/>
      <vertAlign val="subscript"/>
      <sz val="11"/>
      <color theme="1"/>
      <name val="Calibri"/>
      <family val="2"/>
      <scheme val="minor"/>
    </font>
    <font>
      <sz val="11"/>
      <name val="Calibri"/>
      <family val="2"/>
      <scheme val="minor"/>
    </font>
    <font>
      <vertAlign val="superscript"/>
      <sz val="11"/>
      <color theme="1"/>
      <name val="Calibri"/>
      <family val="2"/>
      <scheme val="minor"/>
    </font>
    <font>
      <vertAlign val="subscript"/>
      <sz val="11"/>
      <color theme="1"/>
      <name val="Calibri"/>
      <family val="2"/>
      <scheme val="minor"/>
    </font>
    <font>
      <b/>
      <sz val="11"/>
      <color theme="1"/>
      <name val="Calibri"/>
      <family val="2"/>
    </font>
    <font>
      <b/>
      <sz val="11"/>
      <name val="Calibri"/>
      <family val="2"/>
      <scheme val="minor"/>
    </font>
    <font>
      <sz val="11"/>
      <color indexed="8"/>
      <name val="Calibri"/>
      <family val="2"/>
      <scheme val="minor"/>
    </font>
    <font>
      <b/>
      <sz val="11"/>
      <color indexed="8"/>
      <name val="Calibri"/>
      <family val="2"/>
      <scheme val="minor"/>
    </font>
  </fonts>
  <fills count="2">
    <fill>
      <patternFill patternType="none"/>
    </fill>
    <fill>
      <patternFill patternType="gray125"/>
    </fill>
  </fills>
  <borders count="28">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dotted">
        <color auto="1"/>
      </right>
      <top style="thin">
        <color auto="1"/>
      </top>
      <bottom style="dotted">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style="thin">
        <color rgb="FF000000"/>
      </left>
      <right/>
      <top/>
      <bottom style="thin">
        <color rgb="FF000000"/>
      </bottom>
      <diagonal/>
    </border>
  </borders>
  <cellStyleXfs count="10">
    <xf numFmtId="0" fontId="0" fillId="0" borderId="0"/>
    <xf numFmtId="0" fontId="7" fillId="0" borderId="0"/>
    <xf numFmtId="43" fontId="7" fillId="0" borderId="0" applyFont="0" applyFill="0" applyBorder="0" applyAlignment="0" applyProtection="0"/>
    <xf numFmtId="0" fontId="11" fillId="0" borderId="0"/>
    <xf numFmtId="9" fontId="9" fillId="0" borderId="0" applyFont="0" applyFill="0" applyBorder="0" applyAlignment="0" applyProtection="0"/>
    <xf numFmtId="0" fontId="17" fillId="0" borderId="0"/>
    <xf numFmtId="43" fontId="9" fillId="0" borderId="0" applyFont="0" applyFill="0" applyBorder="0" applyAlignment="0" applyProtection="0"/>
    <xf numFmtId="9" fontId="9" fillId="0" borderId="0" applyFont="0" applyFill="0" applyBorder="0" applyAlignment="0" applyProtection="0"/>
    <xf numFmtId="0" fontId="33" fillId="0" borderId="0" applyNumberFormat="0" applyFill="0" applyBorder="0" applyAlignment="0" applyProtection="0"/>
    <xf numFmtId="0" fontId="34" fillId="0" borderId="0"/>
  </cellStyleXfs>
  <cellXfs count="297">
    <xf numFmtId="0" fontId="0" fillId="0" borderId="0" xfId="0"/>
    <xf numFmtId="0" fontId="3" fillId="0" borderId="0" xfId="0" applyFont="1"/>
    <xf numFmtId="0" fontId="3" fillId="0" borderId="0" xfId="0" applyFont="1" applyAlignment="1">
      <alignment horizontal="center"/>
    </xf>
    <xf numFmtId="0" fontId="0" fillId="0" borderId="0" xfId="0" applyAlignment="1">
      <alignment horizontal="center"/>
    </xf>
    <xf numFmtId="0" fontId="4" fillId="0" borderId="0" xfId="0" applyFont="1"/>
    <xf numFmtId="0" fontId="0" fillId="0" borderId="5" xfId="0" applyBorder="1"/>
    <xf numFmtId="0" fontId="0" fillId="0" borderId="6" xfId="0" applyBorder="1" applyAlignment="1">
      <alignment horizontal="center"/>
    </xf>
    <xf numFmtId="0" fontId="0" fillId="0" borderId="6" xfId="0" applyBorder="1"/>
    <xf numFmtId="0" fontId="2" fillId="0" borderId="0" xfId="0" applyFont="1" applyBorder="1" applyAlignment="1">
      <alignment horizontal="center"/>
    </xf>
    <xf numFmtId="0" fontId="0" fillId="0" borderId="0" xfId="0" applyBorder="1" applyAlignment="1">
      <alignment horizontal="center" wrapText="1"/>
    </xf>
    <xf numFmtId="0" fontId="10" fillId="0" borderId="0" xfId="0" applyFont="1"/>
    <xf numFmtId="1" fontId="0" fillId="0" borderId="0" xfId="0" applyNumberFormat="1" applyAlignment="1">
      <alignment horizontal="center"/>
    </xf>
    <xf numFmtId="2" fontId="0" fillId="0" borderId="0" xfId="0" applyNumberFormat="1" applyAlignment="1">
      <alignment horizontal="center"/>
    </xf>
    <xf numFmtId="164" fontId="0" fillId="0" borderId="0" xfId="0" applyNumberFormat="1" applyAlignment="1">
      <alignment horizontal="center"/>
    </xf>
    <xf numFmtId="0" fontId="12" fillId="0" borderId="0" xfId="3" applyFont="1"/>
    <xf numFmtId="0" fontId="13" fillId="0" borderId="0" xfId="3" applyFont="1"/>
    <xf numFmtId="2" fontId="14" fillId="0" borderId="0" xfId="0" applyNumberFormat="1" applyFont="1" applyAlignment="1">
      <alignment horizontal="left"/>
    </xf>
    <xf numFmtId="1" fontId="6" fillId="0" borderId="0" xfId="0" applyNumberFormat="1" applyFont="1" applyAlignment="1">
      <alignment horizontal="right"/>
    </xf>
    <xf numFmtId="2" fontId="6" fillId="0" borderId="0" xfId="0" applyNumberFormat="1" applyFont="1" applyAlignment="1">
      <alignment horizontal="left"/>
    </xf>
    <xf numFmtId="2" fontId="6" fillId="0" borderId="0" xfId="0" quotePrefix="1" applyNumberFormat="1" applyFont="1" applyAlignment="1">
      <alignment horizontal="left"/>
    </xf>
    <xf numFmtId="0" fontId="6" fillId="0" borderId="0" xfId="0" applyFont="1" applyAlignment="1">
      <alignment horizontal="right"/>
    </xf>
    <xf numFmtId="164" fontId="6" fillId="0" borderId="0" xfId="0" applyNumberFormat="1" applyFont="1" applyAlignment="1">
      <alignment horizontal="right"/>
    </xf>
    <xf numFmtId="3" fontId="0" fillId="0" borderId="0" xfId="0" applyNumberFormat="1"/>
    <xf numFmtId="9" fontId="6" fillId="0" borderId="0" xfId="4" applyFont="1" applyAlignment="1">
      <alignment horizontal="right"/>
    </xf>
    <xf numFmtId="164" fontId="0" fillId="0" borderId="0" xfId="0" applyNumberFormat="1"/>
    <xf numFmtId="0" fontId="11" fillId="0" borderId="0" xfId="0" applyFont="1" applyAlignment="1">
      <alignment horizontal="center"/>
    </xf>
    <xf numFmtId="2" fontId="6" fillId="0" borderId="0" xfId="0" applyNumberFormat="1" applyFont="1" applyAlignment="1">
      <alignment horizontal="right"/>
    </xf>
    <xf numFmtId="2" fontId="0" fillId="0" borderId="0" xfId="0" applyNumberFormat="1"/>
    <xf numFmtId="0" fontId="6" fillId="0" borderId="0" xfId="0" applyFont="1" applyAlignment="1">
      <alignment horizontal="center"/>
    </xf>
    <xf numFmtId="0" fontId="6" fillId="0" borderId="8" xfId="0" applyFont="1" applyBorder="1" applyAlignment="1">
      <alignment horizontal="center" vertical="center" wrapText="1"/>
    </xf>
    <xf numFmtId="0" fontId="0" fillId="0" borderId="8" xfId="0" applyBorder="1" applyAlignment="1">
      <alignment horizontal="center" vertical="center" wrapText="1"/>
    </xf>
    <xf numFmtId="0" fontId="0" fillId="0" borderId="8" xfId="0" applyBorder="1"/>
    <xf numFmtId="164" fontId="6" fillId="0" borderId="8" xfId="0" applyNumberFormat="1" applyFont="1" applyBorder="1" applyAlignment="1">
      <alignment horizontal="right"/>
    </xf>
    <xf numFmtId="2" fontId="6" fillId="0" borderId="8" xfId="0" applyNumberFormat="1" applyFont="1" applyBorder="1" applyAlignment="1">
      <alignment horizontal="right"/>
    </xf>
    <xf numFmtId="165" fontId="6" fillId="0" borderId="8" xfId="0" applyNumberFormat="1" applyFont="1" applyBorder="1" applyAlignment="1">
      <alignment horizontal="right"/>
    </xf>
    <xf numFmtId="0" fontId="0" fillId="0" borderId="0" xfId="0" quotePrefix="1"/>
    <xf numFmtId="0" fontId="0" fillId="0" borderId="9" xfId="0" applyBorder="1"/>
    <xf numFmtId="2" fontId="6" fillId="0" borderId="9" xfId="0" applyNumberFormat="1" applyFont="1" applyBorder="1" applyAlignment="1">
      <alignment horizontal="right"/>
    </xf>
    <xf numFmtId="0" fontId="0" fillId="0" borderId="10" xfId="0" applyBorder="1"/>
    <xf numFmtId="2" fontId="6" fillId="0" borderId="10" xfId="0" applyNumberFormat="1" applyFont="1" applyBorder="1" applyAlignment="1">
      <alignment horizontal="right"/>
    </xf>
    <xf numFmtId="0" fontId="6" fillId="0" borderId="14" xfId="0" applyFont="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16" fillId="0" borderId="0" xfId="0" applyFont="1"/>
    <xf numFmtId="166" fontId="6" fillId="0" borderId="8" xfId="0" applyNumberFormat="1" applyFont="1" applyBorder="1" applyAlignment="1">
      <alignment horizontal="right"/>
    </xf>
    <xf numFmtId="11" fontId="6" fillId="0" borderId="8" xfId="0" applyNumberFormat="1" applyFont="1" applyBorder="1" applyAlignment="1">
      <alignment horizontal="right"/>
    </xf>
    <xf numFmtId="0" fontId="6" fillId="0" borderId="8" xfId="5" applyFont="1" applyBorder="1" applyAlignment="1">
      <alignment horizontal="left" vertical="top" wrapText="1"/>
    </xf>
    <xf numFmtId="2" fontId="0" fillId="0" borderId="8" xfId="0" applyNumberFormat="1" applyBorder="1"/>
    <xf numFmtId="0" fontId="0" fillId="0" borderId="16" xfId="0" applyBorder="1"/>
    <xf numFmtId="11" fontId="0" fillId="0" borderId="16" xfId="0" applyNumberFormat="1" applyBorder="1"/>
    <xf numFmtId="0" fontId="0" fillId="0" borderId="16" xfId="0" applyBorder="1" applyAlignment="1">
      <alignment horizontal="center"/>
    </xf>
    <xf numFmtId="0" fontId="0" fillId="0" borderId="16" xfId="0" quotePrefix="1" applyBorder="1" applyAlignment="1">
      <alignment horizontal="center"/>
    </xf>
    <xf numFmtId="164" fontId="0" fillId="0" borderId="16" xfId="0" applyNumberFormat="1" applyBorder="1"/>
    <xf numFmtId="2" fontId="0" fillId="0" borderId="16" xfId="0" applyNumberFormat="1" applyBorder="1"/>
    <xf numFmtId="165" fontId="0" fillId="0" borderId="16" xfId="0" applyNumberFormat="1" applyBorder="1"/>
    <xf numFmtId="167" fontId="0" fillId="0" borderId="16" xfId="0" applyNumberFormat="1" applyBorder="1"/>
    <xf numFmtId="166" fontId="0" fillId="0" borderId="16" xfId="0" applyNumberFormat="1" applyBorder="1"/>
    <xf numFmtId="11" fontId="0" fillId="0" borderId="0" xfId="0" applyNumberFormat="1"/>
    <xf numFmtId="0" fontId="18" fillId="0" borderId="0" xfId="0" applyFont="1"/>
    <xf numFmtId="0" fontId="0" fillId="0" borderId="17" xfId="0" applyBorder="1" applyAlignment="1">
      <alignment horizontal="center"/>
    </xf>
    <xf numFmtId="164" fontId="0" fillId="0" borderId="15" xfId="0" applyNumberFormat="1" applyBorder="1" applyAlignment="1">
      <alignment horizontal="center"/>
    </xf>
    <xf numFmtId="2" fontId="0" fillId="0" borderId="15" xfId="0" applyNumberFormat="1" applyBorder="1" applyAlignment="1">
      <alignment horizontal="center"/>
    </xf>
    <xf numFmtId="2" fontId="19" fillId="0" borderId="0" xfId="0" applyNumberFormat="1" applyFont="1" applyAlignment="1">
      <alignment horizontal="left"/>
    </xf>
    <xf numFmtId="0" fontId="0" fillId="0" borderId="16" xfId="0" applyBorder="1" applyAlignment="1">
      <alignment horizontal="center"/>
    </xf>
    <xf numFmtId="0" fontId="0" fillId="0" borderId="15" xfId="0" applyBorder="1" applyAlignment="1">
      <alignment horizontal="center" vertical="center" wrapText="1"/>
    </xf>
    <xf numFmtId="1" fontId="0" fillId="0" borderId="16" xfId="0" applyNumberFormat="1" applyBorder="1"/>
    <xf numFmtId="0" fontId="1" fillId="0" borderId="0" xfId="0" applyFont="1"/>
    <xf numFmtId="167" fontId="6" fillId="0" borderId="8" xfId="0" applyNumberFormat="1" applyFont="1" applyBorder="1" applyAlignment="1">
      <alignment horizontal="right"/>
    </xf>
    <xf numFmtId="0" fontId="0" fillId="0" borderId="16" xfId="0" applyBorder="1" applyAlignment="1">
      <alignment horizontal="center"/>
    </xf>
    <xf numFmtId="0" fontId="0" fillId="0" borderId="15" xfId="0" applyBorder="1" applyAlignment="1">
      <alignment horizontal="center" vertical="center" wrapText="1"/>
    </xf>
    <xf numFmtId="3" fontId="0" fillId="0" borderId="0" xfId="0" applyNumberFormat="1" applyAlignment="1">
      <alignment horizontal="right"/>
    </xf>
    <xf numFmtId="0" fontId="0" fillId="0" borderId="0" xfId="0" applyBorder="1"/>
    <xf numFmtId="0" fontId="0" fillId="0" borderId="0" xfId="0" applyAlignment="1">
      <alignment wrapText="1"/>
    </xf>
    <xf numFmtId="0" fontId="0" fillId="0" borderId="0" xfId="0" applyFont="1"/>
    <xf numFmtId="0" fontId="0" fillId="0" borderId="16" xfId="0" applyBorder="1" applyAlignment="1">
      <alignment horizontal="center"/>
    </xf>
    <xf numFmtId="0" fontId="2" fillId="0" borderId="0" xfId="0" applyFont="1"/>
    <xf numFmtId="0" fontId="0" fillId="0" borderId="8" xfId="0" applyBorder="1" applyAlignment="1">
      <alignment horizontal="left"/>
    </xf>
    <xf numFmtId="0" fontId="15" fillId="0" borderId="0" xfId="0" applyFont="1"/>
    <xf numFmtId="0" fontId="2" fillId="0" borderId="0" xfId="0" applyFont="1" applyBorder="1" applyAlignment="1">
      <alignment horizontal="center" wrapText="1"/>
    </xf>
    <xf numFmtId="0" fontId="15" fillId="0" borderId="0" xfId="0" applyFont="1" applyBorder="1"/>
    <xf numFmtId="0" fontId="2" fillId="0" borderId="6" xfId="0" applyFont="1" applyBorder="1" applyAlignment="1"/>
    <xf numFmtId="0" fontId="8" fillId="0" borderId="16" xfId="0" applyFont="1" applyBorder="1" applyAlignment="1">
      <alignment horizontal="center" vertical="center" wrapText="1"/>
    </xf>
    <xf numFmtId="0" fontId="8" fillId="0" borderId="3" xfId="0" applyFont="1" applyBorder="1" applyAlignment="1">
      <alignment horizontal="center" vertical="center" wrapText="1"/>
    </xf>
    <xf numFmtId="0" fontId="26" fillId="0" borderId="0" xfId="0" applyFont="1"/>
    <xf numFmtId="9" fontId="0" fillId="0" borderId="0" xfId="0" applyNumberFormat="1" applyAlignment="1">
      <alignment horizontal="center"/>
    </xf>
    <xf numFmtId="0" fontId="27" fillId="0" borderId="0" xfId="0" applyFont="1"/>
    <xf numFmtId="0" fontId="8" fillId="0" borderId="16" xfId="0" applyFont="1" applyFill="1" applyBorder="1" applyAlignment="1">
      <alignment horizontal="center" vertical="center" wrapText="1"/>
    </xf>
    <xf numFmtId="0" fontId="28" fillId="0" borderId="0" xfId="0" applyFont="1"/>
    <xf numFmtId="0" fontId="0" fillId="0" borderId="16" xfId="0" applyBorder="1" applyAlignment="1">
      <alignment horizontal="center" wrapText="1"/>
    </xf>
    <xf numFmtId="168" fontId="0" fillId="0" borderId="0" xfId="0" applyNumberFormat="1" applyAlignment="1">
      <alignment horizontal="center"/>
    </xf>
    <xf numFmtId="0" fontId="2" fillId="0" borderId="16" xfId="0" applyFont="1" applyBorder="1"/>
    <xf numFmtId="0" fontId="2" fillId="0" borderId="16" xfId="0" applyFont="1" applyBorder="1" applyAlignment="1">
      <alignment horizontal="center" wrapText="1"/>
    </xf>
    <xf numFmtId="3" fontId="0" fillId="0" borderId="0" xfId="0" applyNumberFormat="1" applyAlignment="1">
      <alignment horizontal="center"/>
    </xf>
    <xf numFmtId="4" fontId="0" fillId="0" borderId="0" xfId="0" applyNumberFormat="1" applyAlignment="1">
      <alignment wrapText="1"/>
    </xf>
    <xf numFmtId="0" fontId="0" fillId="0" borderId="0" xfId="0" applyFont="1" applyAlignment="1">
      <alignment horizontal="left" indent="1"/>
    </xf>
    <xf numFmtId="0" fontId="2" fillId="0" borderId="0" xfId="0" applyFont="1" applyAlignment="1">
      <alignment horizontal="center"/>
    </xf>
    <xf numFmtId="2" fontId="0" fillId="0" borderId="6" xfId="0" applyNumberFormat="1" applyBorder="1" applyAlignment="1">
      <alignment horizontal="center"/>
    </xf>
    <xf numFmtId="4" fontId="0" fillId="0" borderId="6" xfId="0" applyNumberFormat="1" applyBorder="1" applyAlignment="1">
      <alignment horizontal="center"/>
    </xf>
    <xf numFmtId="0" fontId="0" fillId="0" borderId="18" xfId="0" applyBorder="1"/>
    <xf numFmtId="168" fontId="0" fillId="0" borderId="0" xfId="0" applyNumberFormat="1" applyBorder="1" applyAlignment="1">
      <alignment horizontal="center"/>
    </xf>
    <xf numFmtId="0" fontId="0" fillId="0" borderId="18" xfId="0" applyBorder="1" applyAlignment="1">
      <alignment horizontal="left" indent="1"/>
    </xf>
    <xf numFmtId="0" fontId="2" fillId="0" borderId="21" xfId="0" applyFont="1" applyFill="1" applyBorder="1"/>
    <xf numFmtId="0" fontId="15" fillId="0" borderId="5" xfId="0" applyFont="1" applyBorder="1"/>
    <xf numFmtId="2" fontId="0" fillId="0" borderId="7" xfId="0" applyNumberFormat="1" applyBorder="1" applyAlignment="1">
      <alignment horizontal="center"/>
    </xf>
    <xf numFmtId="0" fontId="0" fillId="0" borderId="0" xfId="0" applyAlignment="1">
      <alignment horizontal="left"/>
    </xf>
    <xf numFmtId="0" fontId="28" fillId="0" borderId="18" xfId="0" applyFont="1" applyBorder="1"/>
    <xf numFmtId="0" fontId="0" fillId="0" borderId="19" xfId="0" applyFont="1" applyBorder="1"/>
    <xf numFmtId="0" fontId="0" fillId="0" borderId="20" xfId="0" applyBorder="1" applyAlignment="1">
      <alignment horizontal="left"/>
    </xf>
    <xf numFmtId="0" fontId="28" fillId="0" borderId="5" xfId="0" applyFont="1" applyBorder="1"/>
    <xf numFmtId="0" fontId="0" fillId="0" borderId="6" xfId="0" applyFont="1" applyBorder="1"/>
    <xf numFmtId="0" fontId="0" fillId="0" borderId="7" xfId="0" applyBorder="1" applyAlignment="1">
      <alignment horizontal="left"/>
    </xf>
    <xf numFmtId="0" fontId="0" fillId="0" borderId="8" xfId="0" applyBorder="1" applyAlignment="1">
      <alignment wrapText="1"/>
    </xf>
    <xf numFmtId="3" fontId="0" fillId="0" borderId="19" xfId="0" applyNumberFormat="1" applyBorder="1"/>
    <xf numFmtId="0" fontId="0" fillId="0" borderId="20" xfId="0" applyBorder="1"/>
    <xf numFmtId="0" fontId="0" fillId="0" borderId="21" xfId="0" applyBorder="1" applyAlignment="1">
      <alignment horizontal="left" indent="1"/>
    </xf>
    <xf numFmtId="3" fontId="0" fillId="0" borderId="0" xfId="0" applyNumberFormat="1" applyBorder="1"/>
    <xf numFmtId="0" fontId="0" fillId="0" borderId="22" xfId="0" applyBorder="1"/>
    <xf numFmtId="0" fontId="0" fillId="0" borderId="5" xfId="0" applyBorder="1" applyAlignment="1">
      <alignment horizontal="left" indent="1"/>
    </xf>
    <xf numFmtId="1" fontId="0" fillId="0" borderId="6" xfId="0" applyNumberFormat="1" applyBorder="1"/>
    <xf numFmtId="0" fontId="0" fillId="0" borderId="7" xfId="0" applyBorder="1"/>
    <xf numFmtId="1" fontId="0" fillId="0" borderId="19" xfId="0" applyNumberFormat="1" applyBorder="1"/>
    <xf numFmtId="0" fontId="0" fillId="0" borderId="0" xfId="0" quotePrefix="1" applyBorder="1" applyAlignment="1">
      <alignment horizontal="center"/>
    </xf>
    <xf numFmtId="9" fontId="0" fillId="0" borderId="0" xfId="0" applyNumberFormat="1" applyBorder="1" applyAlignment="1">
      <alignment horizontal="center"/>
    </xf>
    <xf numFmtId="167" fontId="0" fillId="0" borderId="0" xfId="0" applyNumberFormat="1" applyBorder="1"/>
    <xf numFmtId="166" fontId="0" fillId="0" borderId="0" xfId="0" applyNumberFormat="1" applyBorder="1"/>
    <xf numFmtId="0" fontId="0" fillId="0" borderId="6" xfId="0" quotePrefix="1" applyBorder="1" applyAlignment="1">
      <alignment horizontal="center"/>
    </xf>
    <xf numFmtId="0" fontId="2" fillId="0" borderId="16" xfId="0" applyFont="1" applyBorder="1" applyAlignment="1">
      <alignment horizontal="center"/>
    </xf>
    <xf numFmtId="0" fontId="31" fillId="0" borderId="0" xfId="0" applyFont="1"/>
    <xf numFmtId="0" fontId="0" fillId="0" borderId="16" xfId="0" applyBorder="1" applyAlignment="1">
      <alignment horizontal="center"/>
    </xf>
    <xf numFmtId="0" fontId="0" fillId="0" borderId="0" xfId="0" applyBorder="1" applyAlignment="1">
      <alignment horizontal="center"/>
    </xf>
    <xf numFmtId="0" fontId="0" fillId="0" borderId="1" xfId="0" applyFont="1" applyBorder="1" applyAlignment="1">
      <alignment horizontal="left" indent="1"/>
    </xf>
    <xf numFmtId="0" fontId="0" fillId="0" borderId="6" xfId="0" applyBorder="1" applyAlignment="1">
      <alignment horizontal="right"/>
    </xf>
    <xf numFmtId="168" fontId="0" fillId="0" borderId="16" xfId="0" applyNumberFormat="1" applyBorder="1" applyAlignment="1">
      <alignment horizontal="center"/>
    </xf>
    <xf numFmtId="166" fontId="0" fillId="0" borderId="16" xfId="0" applyNumberFormat="1" applyBorder="1" applyAlignment="1">
      <alignment horizontal="center"/>
    </xf>
    <xf numFmtId="0" fontId="0" fillId="0" borderId="16" xfId="0" applyBorder="1" applyAlignment="1">
      <alignment wrapText="1"/>
    </xf>
    <xf numFmtId="2" fontId="0" fillId="0" borderId="16" xfId="0" applyNumberFormat="1" applyBorder="1" applyAlignment="1">
      <alignment wrapText="1"/>
    </xf>
    <xf numFmtId="4" fontId="0" fillId="0" borderId="16" xfId="0" applyNumberFormat="1" applyBorder="1" applyAlignment="1">
      <alignment wrapText="1"/>
    </xf>
    <xf numFmtId="0" fontId="0" fillId="0" borderId="16" xfId="0" applyFill="1" applyBorder="1" applyAlignment="1">
      <alignment horizontal="center"/>
    </xf>
    <xf numFmtId="170" fontId="0" fillId="0" borderId="16" xfId="0" applyNumberFormat="1" applyBorder="1" applyAlignment="1">
      <alignment wrapText="1"/>
    </xf>
    <xf numFmtId="169" fontId="0" fillId="0" borderId="16" xfId="0" applyNumberFormat="1" applyBorder="1" applyAlignment="1">
      <alignment wrapText="1"/>
    </xf>
    <xf numFmtId="4" fontId="0" fillId="0" borderId="16" xfId="0" applyNumberFormat="1" applyBorder="1"/>
    <xf numFmtId="9" fontId="0" fillId="0" borderId="16" xfId="0" applyNumberFormat="1" applyBorder="1" applyAlignment="1">
      <alignment horizontal="center"/>
    </xf>
    <xf numFmtId="2" fontId="0" fillId="0" borderId="16" xfId="0" applyNumberFormat="1" applyBorder="1" applyAlignment="1">
      <alignment horizontal="center"/>
    </xf>
    <xf numFmtId="3" fontId="0" fillId="0" borderId="16" xfId="0" applyNumberFormat="1" applyBorder="1"/>
    <xf numFmtId="0" fontId="0" fillId="0" borderId="0" xfId="0" applyBorder="1" applyAlignment="1">
      <alignment horizontal="right"/>
    </xf>
    <xf numFmtId="4" fontId="0" fillId="0" borderId="0" xfId="0" applyNumberFormat="1" applyBorder="1"/>
    <xf numFmtId="0" fontId="0" fillId="0" borderId="17" xfId="0" applyBorder="1"/>
    <xf numFmtId="0" fontId="0" fillId="0" borderId="23" xfId="0" applyBorder="1"/>
    <xf numFmtId="0" fontId="0" fillId="0" borderId="15" xfId="0" applyBorder="1"/>
    <xf numFmtId="4" fontId="0" fillId="0" borderId="16" xfId="0" applyNumberFormat="1" applyBorder="1" applyAlignment="1">
      <alignment horizontal="center"/>
    </xf>
    <xf numFmtId="165" fontId="0" fillId="0" borderId="0" xfId="0" applyNumberFormat="1"/>
    <xf numFmtId="0" fontId="7" fillId="0" borderId="18" xfId="1" applyBorder="1"/>
    <xf numFmtId="0" fontId="7" fillId="0" borderId="19" xfId="1" applyBorder="1"/>
    <xf numFmtId="0" fontId="0" fillId="0" borderId="20" xfId="1" applyFont="1" applyBorder="1" applyAlignment="1">
      <alignment horizontal="left"/>
    </xf>
    <xf numFmtId="2" fontId="0" fillId="0" borderId="16" xfId="0" applyNumberFormat="1" applyFill="1" applyBorder="1" applyAlignment="1">
      <alignment horizontal="center"/>
    </xf>
    <xf numFmtId="9" fontId="0" fillId="0" borderId="16" xfId="0" applyNumberFormat="1" applyFill="1" applyBorder="1" applyAlignment="1">
      <alignment horizontal="center"/>
    </xf>
    <xf numFmtId="0" fontId="0" fillId="0" borderId="16" xfId="0" applyFill="1" applyBorder="1"/>
    <xf numFmtId="0" fontId="0" fillId="0" borderId="15" xfId="0" applyBorder="1" applyAlignment="1">
      <alignment horizontal="center" vertical="center" wrapText="1"/>
    </xf>
    <xf numFmtId="0" fontId="0" fillId="0" borderId="16" xfId="0" applyBorder="1" applyAlignment="1">
      <alignment horizontal="center"/>
    </xf>
    <xf numFmtId="0" fontId="0" fillId="0" borderId="16" xfId="0" applyBorder="1" applyAlignment="1">
      <alignment horizontal="center" wrapText="1"/>
    </xf>
    <xf numFmtId="4" fontId="0" fillId="0" borderId="0" xfId="0" applyNumberFormat="1"/>
    <xf numFmtId="167" fontId="0" fillId="0" borderId="0" xfId="0" applyNumberFormat="1"/>
    <xf numFmtId="2" fontId="6" fillId="0" borderId="0" xfId="0" applyNumberFormat="1" applyFont="1" applyBorder="1" applyAlignment="1">
      <alignment horizontal="right"/>
    </xf>
    <xf numFmtId="2" fontId="6" fillId="0" borderId="0" xfId="0" applyNumberFormat="1" applyFont="1" applyAlignment="1">
      <alignment horizontal="left" wrapText="1"/>
    </xf>
    <xf numFmtId="0" fontId="0" fillId="0" borderId="11" xfId="0" applyBorder="1" applyAlignment="1">
      <alignment horizontal="center" vertical="center" wrapText="1"/>
    </xf>
    <xf numFmtId="0" fontId="0" fillId="0" borderId="11" xfId="0" applyBorder="1"/>
    <xf numFmtId="0" fontId="6" fillId="0" borderId="13" xfId="0" applyFont="1" applyBorder="1" applyAlignment="1">
      <alignment horizontal="center" vertical="center" wrapText="1"/>
    </xf>
    <xf numFmtId="165" fontId="6" fillId="0" borderId="13" xfId="0" applyNumberFormat="1" applyFont="1" applyBorder="1" applyAlignment="1">
      <alignment horizontal="right"/>
    </xf>
    <xf numFmtId="0" fontId="0" fillId="0" borderId="16" xfId="0" applyBorder="1" applyAlignment="1">
      <alignment horizontal="center" vertical="center" wrapText="1"/>
    </xf>
    <xf numFmtId="165" fontId="0" fillId="0" borderId="8" xfId="0" applyNumberFormat="1" applyBorder="1"/>
    <xf numFmtId="0" fontId="0" fillId="0" borderId="16" xfId="0" applyBorder="1" applyAlignment="1">
      <alignment horizontal="center"/>
    </xf>
    <xf numFmtId="0" fontId="0" fillId="0" borderId="16" xfId="0" applyBorder="1" applyAlignment="1">
      <alignment horizontal="center"/>
    </xf>
    <xf numFmtId="0" fontId="0" fillId="0" borderId="16" xfId="0" applyBorder="1" applyAlignment="1">
      <alignment horizontal="center" wrapText="1"/>
    </xf>
    <xf numFmtId="0" fontId="0" fillId="0" borderId="16" xfId="0" applyBorder="1" applyAlignment="1">
      <alignment horizontal="center"/>
    </xf>
    <xf numFmtId="0" fontId="0" fillId="0" borderId="16" xfId="0" applyFill="1" applyBorder="1" applyAlignment="1">
      <alignment horizontal="center"/>
    </xf>
    <xf numFmtId="0" fontId="0" fillId="0" borderId="1" xfId="0" applyBorder="1" applyAlignment="1">
      <alignment horizontal="center" wrapText="1"/>
    </xf>
    <xf numFmtId="0" fontId="0" fillId="0" borderId="16" xfId="0" applyFont="1" applyBorder="1" applyAlignment="1">
      <alignment horizontal="center" wrapText="1"/>
    </xf>
    <xf numFmtId="0" fontId="0" fillId="0" borderId="17" xfId="0" applyFont="1" applyBorder="1" applyAlignment="1">
      <alignment horizontal="center" wrapText="1"/>
    </xf>
    <xf numFmtId="165" fontId="0" fillId="0" borderId="16" xfId="0" applyNumberFormat="1" applyBorder="1" applyAlignment="1">
      <alignment horizontal="right"/>
    </xf>
    <xf numFmtId="0" fontId="0" fillId="0" borderId="26" xfId="0" applyBorder="1"/>
    <xf numFmtId="165" fontId="0" fillId="0" borderId="0" xfId="0" applyNumberFormat="1" applyBorder="1"/>
    <xf numFmtId="4" fontId="0" fillId="0" borderId="16" xfId="6" applyNumberFormat="1" applyFont="1" applyBorder="1"/>
    <xf numFmtId="0" fontId="0" fillId="0" borderId="0" xfId="0" applyAlignment="1">
      <alignment horizontal="center" vertical="top"/>
    </xf>
    <xf numFmtId="0" fontId="0" fillId="0" borderId="27" xfId="0" applyBorder="1"/>
    <xf numFmtId="0" fontId="0" fillId="0" borderId="4" xfId="0" applyFont="1" applyBorder="1" applyAlignment="1">
      <alignment horizontal="center" wrapText="1"/>
    </xf>
    <xf numFmtId="0" fontId="0" fillId="0" borderId="17" xfId="0" applyBorder="1" applyAlignment="1">
      <alignment horizontal="center" wrapText="1"/>
    </xf>
    <xf numFmtId="0" fontId="0" fillId="0" borderId="15" xfId="0" applyBorder="1" applyAlignment="1">
      <alignment horizontal="center" vertical="center" wrapText="1"/>
    </xf>
    <xf numFmtId="0" fontId="15" fillId="0" borderId="12" xfId="0" applyFont="1" applyBorder="1" applyAlignment="1">
      <alignment horizontal="center"/>
    </xf>
    <xf numFmtId="0" fontId="15" fillId="0" borderId="0" xfId="0" applyFont="1" applyBorder="1" applyAlignment="1">
      <alignment horizontal="center"/>
    </xf>
    <xf numFmtId="0" fontId="0" fillId="0" borderId="20" xfId="0" applyFont="1" applyFill="1" applyBorder="1" applyAlignment="1">
      <alignment horizontal="center" wrapText="1"/>
    </xf>
    <xf numFmtId="0" fontId="0" fillId="0" borderId="15" xfId="0" applyBorder="1" applyAlignment="1">
      <alignment horizontal="center"/>
    </xf>
    <xf numFmtId="164" fontId="0" fillId="0" borderId="0" xfId="0" applyNumberFormat="1" applyFont="1" applyAlignment="1">
      <alignment horizontal="right"/>
    </xf>
    <xf numFmtId="9" fontId="9" fillId="0" borderId="0" xfId="4" applyFont="1" applyAlignment="1">
      <alignment horizontal="right"/>
    </xf>
    <xf numFmtId="0" fontId="0" fillId="0" borderId="16" xfId="0" applyFill="1" applyBorder="1" applyAlignment="1">
      <alignment horizontal="center"/>
    </xf>
    <xf numFmtId="164" fontId="0" fillId="0" borderId="0" xfId="0" applyNumberFormat="1" applyBorder="1"/>
    <xf numFmtId="2" fontId="0" fillId="0" borderId="0" xfId="0" applyNumberFormat="1" applyBorder="1"/>
    <xf numFmtId="0" fontId="0" fillId="0" borderId="0" xfId="0" applyBorder="1" applyAlignment="1">
      <alignment horizontal="center" vertical="center" wrapText="1"/>
    </xf>
    <xf numFmtId="0" fontId="15" fillId="0" borderId="0" xfId="0" applyFont="1" applyBorder="1" applyAlignment="1">
      <alignment horizontal="center" vertical="center"/>
    </xf>
    <xf numFmtId="1" fontId="0" fillId="0" borderId="0" xfId="0" applyNumberFormat="1" applyBorder="1"/>
    <xf numFmtId="0" fontId="7" fillId="0" borderId="16" xfId="0" applyFont="1" applyBorder="1" applyAlignment="1">
      <alignment horizontal="left" wrapText="1"/>
    </xf>
    <xf numFmtId="0" fontId="7" fillId="0" borderId="16" xfId="0" applyFont="1" applyBorder="1" applyAlignment="1">
      <alignment horizontal="left"/>
    </xf>
    <xf numFmtId="0" fontId="7" fillId="0" borderId="16" xfId="0" applyFont="1" applyFill="1" applyBorder="1" applyAlignment="1">
      <alignment horizontal="left"/>
    </xf>
    <xf numFmtId="0" fontId="0" fillId="0" borderId="16" xfId="0" applyFill="1" applyBorder="1" applyAlignment="1">
      <alignment horizontal="center"/>
    </xf>
    <xf numFmtId="0" fontId="8" fillId="0" borderId="3" xfId="0" applyFont="1" applyFill="1" applyBorder="1" applyAlignment="1">
      <alignment horizontal="center" vertical="center" wrapText="1"/>
    </xf>
    <xf numFmtId="4" fontId="0" fillId="0" borderId="0" xfId="0" applyNumberFormat="1" applyBorder="1" applyAlignment="1">
      <alignment wrapText="1"/>
    </xf>
    <xf numFmtId="0" fontId="32" fillId="0" borderId="5" xfId="0" applyFont="1" applyBorder="1"/>
    <xf numFmtId="0" fontId="32" fillId="0" borderId="16" xfId="0" applyFont="1" applyBorder="1"/>
    <xf numFmtId="0" fontId="32" fillId="0" borderId="16" xfId="0" applyFont="1" applyBorder="1" applyAlignment="1">
      <alignment horizontal="center"/>
    </xf>
    <xf numFmtId="0" fontId="32" fillId="0" borderId="16" xfId="0" quotePrefix="1" applyFont="1" applyBorder="1" applyAlignment="1">
      <alignment horizontal="center"/>
    </xf>
    <xf numFmtId="9" fontId="32" fillId="0" borderId="16" xfId="0" applyNumberFormat="1" applyFont="1" applyBorder="1" applyAlignment="1">
      <alignment horizontal="center"/>
    </xf>
    <xf numFmtId="167" fontId="32" fillId="0" borderId="16" xfId="0" applyNumberFormat="1" applyFont="1" applyBorder="1"/>
    <xf numFmtId="1" fontId="32" fillId="0" borderId="16" xfId="0" applyNumberFormat="1" applyFont="1" applyBorder="1"/>
    <xf numFmtId="3" fontId="0" fillId="0" borderId="16" xfId="0" applyNumberFormat="1" applyFill="1" applyBorder="1" applyAlignment="1">
      <alignment horizontal="center"/>
    </xf>
    <xf numFmtId="1" fontId="0" fillId="0" borderId="16" xfId="0" applyNumberFormat="1" applyFill="1" applyBorder="1" applyAlignment="1">
      <alignment horizontal="center"/>
    </xf>
    <xf numFmtId="4" fontId="0" fillId="0" borderId="16" xfId="0" applyNumberFormat="1" applyFill="1" applyBorder="1" applyAlignment="1">
      <alignment horizontal="center"/>
    </xf>
    <xf numFmtId="9" fontId="0" fillId="0" borderId="16" xfId="7" applyFont="1" applyFill="1" applyBorder="1" applyAlignment="1">
      <alignment horizontal="center"/>
    </xf>
    <xf numFmtId="0" fontId="33" fillId="0" borderId="0" xfId="8" applyAlignment="1">
      <alignment horizontal="left"/>
    </xf>
    <xf numFmtId="0" fontId="35" fillId="0" borderId="0" xfId="9" applyFont="1"/>
    <xf numFmtId="0" fontId="7" fillId="0" borderId="0" xfId="9" applyFont="1"/>
    <xf numFmtId="0" fontId="37" fillId="0" borderId="16" xfId="9" applyFont="1" applyBorder="1" applyAlignment="1">
      <alignment horizontal="center" vertical="center" wrapText="1"/>
    </xf>
    <xf numFmtId="0" fontId="7" fillId="0" borderId="16" xfId="9" applyFont="1" applyBorder="1" applyAlignment="1">
      <alignment horizontal="center" vertical="center" wrapText="1"/>
    </xf>
    <xf numFmtId="0" fontId="34" fillId="0" borderId="16" xfId="9" applyBorder="1" applyAlignment="1">
      <alignment horizontal="center" vertical="center" wrapText="1"/>
    </xf>
    <xf numFmtId="0" fontId="7" fillId="0" borderId="16" xfId="9" applyFont="1" applyBorder="1"/>
    <xf numFmtId="0" fontId="7" fillId="0" borderId="16" xfId="9" applyFont="1" applyBorder="1" applyAlignment="1">
      <alignment horizontal="center"/>
    </xf>
    <xf numFmtId="2" fontId="7" fillId="0" borderId="16" xfId="9" applyNumberFormat="1" applyFont="1" applyBorder="1" applyAlignment="1">
      <alignment horizontal="center"/>
    </xf>
    <xf numFmtId="11" fontId="7" fillId="0" borderId="16" xfId="9" applyNumberFormat="1" applyFont="1" applyBorder="1" applyAlignment="1">
      <alignment horizontal="center"/>
    </xf>
    <xf numFmtId="0" fontId="7" fillId="0" borderId="0" xfId="9" applyFont="1" applyAlignment="1">
      <alignment horizontal="center"/>
    </xf>
    <xf numFmtId="2" fontId="7" fillId="0" borderId="0" xfId="9" applyNumberFormat="1" applyFont="1" applyAlignment="1">
      <alignment horizontal="center"/>
    </xf>
    <xf numFmtId="11" fontId="7" fillId="0" borderId="0" xfId="9" applyNumberFormat="1" applyFont="1" applyAlignment="1">
      <alignment horizontal="center"/>
    </xf>
    <xf numFmtId="2" fontId="7" fillId="0" borderId="0" xfId="9" applyNumberFormat="1" applyFont="1" applyAlignment="1">
      <alignment horizontal="right"/>
    </xf>
    <xf numFmtId="0" fontId="40" fillId="0" borderId="0" xfId="9" applyFont="1"/>
    <xf numFmtId="0" fontId="34" fillId="0" borderId="0" xfId="9"/>
    <xf numFmtId="0" fontId="34" fillId="0" borderId="16" xfId="9" applyBorder="1" applyAlignment="1">
      <alignment horizontal="center" vertical="center"/>
    </xf>
    <xf numFmtId="0" fontId="34" fillId="0" borderId="16" xfId="9" applyBorder="1" applyAlignment="1">
      <alignment horizontal="center"/>
    </xf>
    <xf numFmtId="168" fontId="34" fillId="0" borderId="16" xfId="9" applyNumberFormat="1" applyBorder="1" applyAlignment="1">
      <alignment horizontal="center"/>
    </xf>
    <xf numFmtId="11" fontId="34" fillId="0" borderId="16" xfId="9" applyNumberFormat="1" applyBorder="1" applyAlignment="1">
      <alignment horizontal="center"/>
    </xf>
    <xf numFmtId="9" fontId="34" fillId="0" borderId="16" xfId="9" applyNumberFormat="1" applyBorder="1" applyAlignment="1">
      <alignment horizontal="center"/>
    </xf>
    <xf numFmtId="0" fontId="34" fillId="0" borderId="0" xfId="9" applyAlignment="1">
      <alignment horizontal="center"/>
    </xf>
    <xf numFmtId="11" fontId="34" fillId="0" borderId="0" xfId="9" applyNumberFormat="1" applyAlignment="1">
      <alignment horizontal="center"/>
    </xf>
    <xf numFmtId="0" fontId="41" fillId="0" borderId="0" xfId="9" applyFont="1"/>
    <xf numFmtId="0" fontId="37" fillId="0" borderId="16" xfId="9" applyFont="1" applyBorder="1" applyAlignment="1">
      <alignment horizontal="center"/>
    </xf>
    <xf numFmtId="0" fontId="42" fillId="0" borderId="16" xfId="9" applyFont="1" applyBorder="1" applyAlignment="1">
      <alignment wrapText="1"/>
    </xf>
    <xf numFmtId="0" fontId="42" fillId="0" borderId="16" xfId="9" applyFont="1" applyBorder="1" applyAlignment="1">
      <alignment horizontal="center" wrapText="1"/>
    </xf>
    <xf numFmtId="0" fontId="43" fillId="0" borderId="0" xfId="9" applyFont="1" applyAlignment="1">
      <alignment wrapText="1"/>
    </xf>
    <xf numFmtId="0" fontId="42" fillId="0" borderId="0" xfId="9" applyFont="1"/>
    <xf numFmtId="165" fontId="7" fillId="0" borderId="16" xfId="9" applyNumberFormat="1" applyFont="1" applyBorder="1" applyAlignment="1">
      <alignment horizontal="center"/>
    </xf>
    <xf numFmtId="0" fontId="7" fillId="0" borderId="16" xfId="9" applyFont="1" applyBorder="1" applyAlignment="1">
      <alignment horizontal="center" vertical="center" wrapText="1"/>
    </xf>
    <xf numFmtId="2" fontId="7" fillId="0" borderId="16" xfId="9" applyNumberFormat="1" applyFont="1" applyBorder="1"/>
    <xf numFmtId="171" fontId="6" fillId="0" borderId="8" xfId="0" applyNumberFormat="1" applyFont="1" applyBorder="1" applyAlignment="1">
      <alignment horizontal="right"/>
    </xf>
    <xf numFmtId="1" fontId="0" fillId="0" borderId="18" xfId="0" applyNumberFormat="1" applyBorder="1"/>
    <xf numFmtId="1" fontId="0" fillId="0" borderId="21" xfId="0" applyNumberFormat="1" applyBorder="1"/>
    <xf numFmtId="1" fontId="0" fillId="0" borderId="5" xfId="0" applyNumberFormat="1" applyBorder="1"/>
    <xf numFmtId="0" fontId="0" fillId="0" borderId="18" xfId="0" applyFill="1" applyBorder="1"/>
    <xf numFmtId="164" fontId="0" fillId="0" borderId="19" xfId="0" applyNumberFormat="1" applyBorder="1"/>
    <xf numFmtId="0" fontId="0" fillId="0" borderId="20" xfId="0" applyFill="1" applyBorder="1"/>
    <xf numFmtId="164" fontId="0" fillId="0" borderId="6" xfId="0" applyNumberFormat="1" applyBorder="1"/>
    <xf numFmtId="0" fontId="0" fillId="0" borderId="7" xfId="0" applyFill="1" applyBorder="1"/>
    <xf numFmtId="0" fontId="2" fillId="0" borderId="1" xfId="0" applyFont="1" applyBorder="1" applyAlignment="1"/>
    <xf numFmtId="0" fontId="2" fillId="0" borderId="2" xfId="0" applyFont="1" applyBorder="1" applyAlignment="1"/>
    <xf numFmtId="0" fontId="2" fillId="0" borderId="3" xfId="0" applyFont="1" applyBorder="1" applyAlignment="1"/>
    <xf numFmtId="9" fontId="6" fillId="0" borderId="0" xfId="7" applyFont="1" applyAlignment="1">
      <alignment horizontal="right"/>
    </xf>
    <xf numFmtId="10" fontId="6" fillId="0" borderId="0" xfId="0" applyNumberFormat="1" applyFont="1" applyAlignment="1">
      <alignment horizontal="right"/>
    </xf>
    <xf numFmtId="9" fontId="7" fillId="0" borderId="16" xfId="7" applyFont="1" applyBorder="1" applyAlignment="1">
      <alignment horizontal="center"/>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0" fillId="0" borderId="18" xfId="0" applyBorder="1" applyAlignment="1">
      <alignment horizontal="center"/>
    </xf>
    <xf numFmtId="0" fontId="0" fillId="0" borderId="20" xfId="0"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0" fillId="0" borderId="1" xfId="0" applyBorder="1" applyAlignment="1">
      <alignment horizontal="center"/>
    </xf>
    <xf numFmtId="0" fontId="0" fillId="0" borderId="3" xfId="0" applyBorder="1" applyAlignment="1">
      <alignment horizontal="center"/>
    </xf>
    <xf numFmtId="0" fontId="15" fillId="0" borderId="8" xfId="0" applyFont="1" applyBorder="1" applyAlignment="1">
      <alignment horizontal="center"/>
    </xf>
    <xf numFmtId="0" fontId="15" fillId="0" borderId="11" xfId="0" applyFont="1" applyBorder="1" applyAlignment="1">
      <alignment horizontal="center"/>
    </xf>
    <xf numFmtId="0" fontId="15" fillId="0" borderId="12" xfId="0" applyFont="1" applyBorder="1" applyAlignment="1">
      <alignment horizontal="center"/>
    </xf>
    <xf numFmtId="0" fontId="15" fillId="0" borderId="13" xfId="0" applyFont="1" applyBorder="1" applyAlignment="1">
      <alignment horizontal="center"/>
    </xf>
    <xf numFmtId="0" fontId="0" fillId="0" borderId="11" xfId="0" applyBorder="1" applyAlignment="1">
      <alignment horizontal="center"/>
    </xf>
    <xf numFmtId="0" fontId="0" fillId="0" borderId="13" xfId="0" applyBorder="1" applyAlignment="1">
      <alignment horizont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15" fillId="0" borderId="1" xfId="0" applyFont="1" applyBorder="1" applyAlignment="1">
      <alignment horizontal="center"/>
    </xf>
    <xf numFmtId="0" fontId="15" fillId="0" borderId="2" xfId="0" applyFont="1" applyBorder="1" applyAlignment="1">
      <alignment horizontal="center"/>
    </xf>
    <xf numFmtId="0" fontId="15" fillId="0" borderId="3" xfId="0" applyFont="1" applyBorder="1" applyAlignment="1">
      <alignment horizontal="center"/>
    </xf>
    <xf numFmtId="0" fontId="0" fillId="0" borderId="2" xfId="0" applyBorder="1" applyAlignment="1">
      <alignment horizontal="center"/>
    </xf>
    <xf numFmtId="0" fontId="0" fillId="0" borderId="16" xfId="0" applyBorder="1" applyAlignment="1">
      <alignment horizontal="left" vertical="center"/>
    </xf>
    <xf numFmtId="0" fontId="0" fillId="0" borderId="16" xfId="0" applyBorder="1" applyAlignment="1">
      <alignment horizontal="center"/>
    </xf>
    <xf numFmtId="0" fontId="0" fillId="0" borderId="17" xfId="0" applyBorder="1" applyAlignment="1">
      <alignment horizontal="center" vertical="center" wrapText="1"/>
    </xf>
    <xf numFmtId="0" fontId="0" fillId="0" borderId="15" xfId="0" applyBorder="1" applyAlignment="1">
      <alignment horizontal="center" vertical="center" wrapText="1"/>
    </xf>
    <xf numFmtId="0" fontId="0" fillId="0" borderId="16" xfId="0" applyFill="1" applyBorder="1" applyAlignment="1">
      <alignment horizontal="center"/>
    </xf>
    <xf numFmtId="0" fontId="0" fillId="0" borderId="1" xfId="0" applyBorder="1" applyAlignment="1">
      <alignment horizontal="center" wrapText="1"/>
    </xf>
    <xf numFmtId="0" fontId="0" fillId="0" borderId="3" xfId="0" applyBorder="1" applyAlignment="1">
      <alignment horizontal="center" wrapText="1"/>
    </xf>
    <xf numFmtId="0" fontId="0" fillId="0" borderId="16" xfId="0" applyBorder="1" applyAlignment="1">
      <alignment horizontal="center" wrapText="1"/>
    </xf>
    <xf numFmtId="0" fontId="15" fillId="0" borderId="24" xfId="0" applyFont="1" applyBorder="1" applyAlignment="1">
      <alignment horizontal="center"/>
    </xf>
    <xf numFmtId="0" fontId="15" fillId="0" borderId="0" xfId="0" applyFont="1" applyBorder="1" applyAlignment="1">
      <alignment horizontal="center"/>
    </xf>
    <xf numFmtId="0" fontId="15" fillId="0" borderId="25" xfId="0" applyFont="1" applyBorder="1" applyAlignment="1">
      <alignment horizontal="center"/>
    </xf>
    <xf numFmtId="0" fontId="7" fillId="0" borderId="16" xfId="9" applyFont="1" applyBorder="1" applyAlignment="1">
      <alignment horizontal="center" vertical="center" wrapText="1"/>
    </xf>
  </cellXfs>
  <cellStyles count="10">
    <cellStyle name="Comma" xfId="6" builtinId="3"/>
    <cellStyle name="Comma 2" xfId="2" xr:uid="{FB422552-45B7-1D4A-874F-E7753873458F}"/>
    <cellStyle name="Hyperlink" xfId="8" builtinId="8"/>
    <cellStyle name="Normal" xfId="0" builtinId="0"/>
    <cellStyle name="Normal 122" xfId="3" xr:uid="{F26E4F06-E109-1B4F-A9DD-1DA46CD91602}"/>
    <cellStyle name="Normal 2" xfId="1" xr:uid="{D2731EC1-C669-5541-B36C-3D1FCC364C94}"/>
    <cellStyle name="Normal 3" xfId="9" xr:uid="{6D72DE6A-4FE6-C14A-9366-837B934913B8}"/>
    <cellStyle name="Normal 6" xfId="5" xr:uid="{F26EC13D-2253-1F43-9978-78C8594FE7B8}"/>
    <cellStyle name="Percent" xfId="7" builtinId="5"/>
    <cellStyle name="Percent 2 2" xfId="4" xr:uid="{F6B46273-69A4-3E48-A8D1-8110C865244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externalLink" Target="externalLinks/externalLink15.xml"/><Relationship Id="rId39" Type="http://schemas.openxmlformats.org/officeDocument/2006/relationships/externalLink" Target="externalLinks/externalLink28.xml"/><Relationship Id="rId21" Type="http://schemas.openxmlformats.org/officeDocument/2006/relationships/externalLink" Target="externalLinks/externalLink10.xml"/><Relationship Id="rId34" Type="http://schemas.openxmlformats.org/officeDocument/2006/relationships/externalLink" Target="externalLinks/externalLink23.xml"/><Relationship Id="rId42" Type="http://schemas.openxmlformats.org/officeDocument/2006/relationships/externalLink" Target="externalLinks/externalLink3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5.xml"/><Relationship Id="rId29"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3.xml"/><Relationship Id="rId32" Type="http://schemas.openxmlformats.org/officeDocument/2006/relationships/externalLink" Target="externalLinks/externalLink21.xml"/><Relationship Id="rId37" Type="http://schemas.openxmlformats.org/officeDocument/2006/relationships/externalLink" Target="externalLinks/externalLink26.xml"/><Relationship Id="rId40" Type="http://schemas.openxmlformats.org/officeDocument/2006/relationships/externalLink" Target="externalLinks/externalLink29.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36" Type="http://schemas.openxmlformats.org/officeDocument/2006/relationships/externalLink" Target="externalLinks/externalLink25.xml"/><Relationship Id="rId10" Type="http://schemas.openxmlformats.org/officeDocument/2006/relationships/worksheet" Target="worksheets/sheet10.xml"/><Relationship Id="rId19" Type="http://schemas.openxmlformats.org/officeDocument/2006/relationships/externalLink" Target="externalLinks/externalLink8.xml"/><Relationship Id="rId31" Type="http://schemas.openxmlformats.org/officeDocument/2006/relationships/externalLink" Target="externalLinks/externalLink20.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43"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externalLink" Target="externalLinks/externalLink22.xml"/><Relationship Id="rId38" Type="http://schemas.openxmlformats.org/officeDocument/2006/relationships/externalLink" Target="externalLinks/externalLink27.xml"/><Relationship Id="rId46" Type="http://schemas.openxmlformats.org/officeDocument/2006/relationships/calcChain" Target="calcChain.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38100</xdr:colOff>
      <xdr:row>168</xdr:row>
      <xdr:rowOff>190500</xdr:rowOff>
    </xdr:from>
    <xdr:to>
      <xdr:col>6</xdr:col>
      <xdr:colOff>774700</xdr:colOff>
      <xdr:row>177</xdr:row>
      <xdr:rowOff>50800</xdr:rowOff>
    </xdr:to>
    <xdr:sp macro="" textlink="">
      <xdr:nvSpPr>
        <xdr:cNvPr id="2" name="TextBox 1">
          <a:extLst>
            <a:ext uri="{FF2B5EF4-FFF2-40B4-BE49-F238E27FC236}">
              <a16:creationId xmlns:a16="http://schemas.microsoft.com/office/drawing/2014/main" id="{3B9A5D71-26AE-8D43-8D41-318A27600AD8}"/>
            </a:ext>
          </a:extLst>
        </xdr:cNvPr>
        <xdr:cNvSpPr txBox="1"/>
      </xdr:nvSpPr>
      <xdr:spPr>
        <a:xfrm>
          <a:off x="38100" y="42405300"/>
          <a:ext cx="7594600"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a:t>Potential Emissions from Non-Emergency &amp; Emergency Operations</a:t>
          </a:r>
        </a:p>
        <a:p>
          <a:endParaRPr lang="en-US" sz="1200"/>
        </a:p>
        <a:p>
          <a:r>
            <a:rPr lang="en-US" sz="1200"/>
            <a:t>Emission estimates for all operations (non-emergency</a:t>
          </a:r>
          <a:r>
            <a:rPr lang="en-US" sz="1200" baseline="0"/>
            <a:t> and emergency operations are based on the same emission factors derived for non-emergency operations).  The annual fuel use limit is being established to limit facility total emissions to below Oregon's Title V major source thresholds (e.g., 100 tpy of NOx)</a:t>
          </a:r>
        </a:p>
        <a:p>
          <a:endParaRPr lang="en-US" sz="1100"/>
        </a:p>
      </xdr:txBody>
    </xdr:sp>
    <xdr:clientData/>
  </xdr:twoCellAnchor>
  <xdr:twoCellAnchor>
    <xdr:from>
      <xdr:col>0</xdr:col>
      <xdr:colOff>165101</xdr:colOff>
      <xdr:row>65</xdr:row>
      <xdr:rowOff>50799</xdr:rowOff>
    </xdr:from>
    <xdr:to>
      <xdr:col>4</xdr:col>
      <xdr:colOff>520701</xdr:colOff>
      <xdr:row>68</xdr:row>
      <xdr:rowOff>167105</xdr:rowOff>
    </xdr:to>
    <xdr:sp macro="" textlink="">
      <xdr:nvSpPr>
        <xdr:cNvPr id="3" name="TextBox 2">
          <a:extLst>
            <a:ext uri="{FF2B5EF4-FFF2-40B4-BE49-F238E27FC236}">
              <a16:creationId xmlns:a16="http://schemas.microsoft.com/office/drawing/2014/main" id="{034C5A29-2574-1C42-AFBA-D00A381675B0}"/>
            </a:ext>
          </a:extLst>
        </xdr:cNvPr>
        <xdr:cNvSpPr txBox="1"/>
      </xdr:nvSpPr>
      <xdr:spPr>
        <a:xfrm>
          <a:off x="165101" y="14475325"/>
          <a:ext cx="6023811" cy="71788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mn-lt"/>
            </a:rPr>
            <a:t>(3) TAC</a:t>
          </a:r>
          <a:r>
            <a:rPr lang="en-US" sz="1200" baseline="0">
              <a:latin typeface="+mn-lt"/>
            </a:rPr>
            <a:t> Emission Factors from ODEQ ATEI Combustion Emission Factor Tool: </a:t>
          </a:r>
          <a:r>
            <a:rPr lang="en-US" sz="1200" b="0" i="0" u="none" strike="noStrike">
              <a:solidFill>
                <a:srgbClr val="000000"/>
              </a:solidFill>
              <a:effectLst/>
              <a:latin typeface="+mn-lt"/>
            </a:rPr>
            <a:t>WebFIRE/ AP-42 Section 1.4 (metals); SCAQMD AB2588 - Default Emission Factors for Fuel Combustion, Table B-1</a:t>
          </a:r>
          <a:r>
            <a:rPr lang="en-US" sz="1200">
              <a:latin typeface="+mn-lt"/>
            </a:rPr>
            <a:t> </a:t>
          </a:r>
          <a:endParaRPr lang="en-US" sz="1400">
            <a:latin typeface="+mn-lt"/>
          </a:endParaRPr>
        </a:p>
      </xdr:txBody>
    </xdr:sp>
    <xdr:clientData/>
  </xdr:twoCellAnchor>
  <xdr:twoCellAnchor>
    <xdr:from>
      <xdr:col>0</xdr:col>
      <xdr:colOff>117643</xdr:colOff>
      <xdr:row>69</xdr:row>
      <xdr:rowOff>127936</xdr:rowOff>
    </xdr:from>
    <xdr:to>
      <xdr:col>4</xdr:col>
      <xdr:colOff>377978</xdr:colOff>
      <xdr:row>73</xdr:row>
      <xdr:rowOff>90714</xdr:rowOff>
    </xdr:to>
    <xdr:sp macro="" textlink="">
      <xdr:nvSpPr>
        <xdr:cNvPr id="4" name="TextBox 3">
          <a:extLst>
            <a:ext uri="{FF2B5EF4-FFF2-40B4-BE49-F238E27FC236}">
              <a16:creationId xmlns:a16="http://schemas.microsoft.com/office/drawing/2014/main" id="{C73F18C9-8913-0640-8196-219BDC882FD5}"/>
            </a:ext>
          </a:extLst>
        </xdr:cNvPr>
        <xdr:cNvSpPr txBox="1"/>
      </xdr:nvSpPr>
      <xdr:spPr>
        <a:xfrm>
          <a:off x="117643" y="15186507"/>
          <a:ext cx="6081168" cy="748969"/>
        </a:xfrm>
        <a:prstGeom prst="rect">
          <a:avLst/>
        </a:prstGeom>
        <a:solidFill>
          <a:schemeClr val="accent2"/>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De minimis emission levels are</a:t>
          </a:r>
          <a:r>
            <a:rPr lang="en-US" sz="1200" baseline="0"/>
            <a:t> 1.0 tpy for each criteria pollutant and 2,756 tpy for greenhouse gases per OAR 340-200-0020(39).  Aggregate expected actual annual emissions from these units are below these levels and the equipment is categorically insignificant per LRAPA 12-005.</a:t>
          </a:r>
        </a:p>
        <a:p>
          <a:endParaRPr lang="en-US" sz="14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168</xdr:row>
      <xdr:rowOff>190500</xdr:rowOff>
    </xdr:from>
    <xdr:to>
      <xdr:col>6</xdr:col>
      <xdr:colOff>774700</xdr:colOff>
      <xdr:row>177</xdr:row>
      <xdr:rowOff>50800</xdr:rowOff>
    </xdr:to>
    <xdr:sp macro="" textlink="">
      <xdr:nvSpPr>
        <xdr:cNvPr id="2" name="TextBox 1">
          <a:extLst>
            <a:ext uri="{FF2B5EF4-FFF2-40B4-BE49-F238E27FC236}">
              <a16:creationId xmlns:a16="http://schemas.microsoft.com/office/drawing/2014/main" id="{AF8E023F-BD86-A545-AE9E-9B837ACF327F}"/>
            </a:ext>
          </a:extLst>
        </xdr:cNvPr>
        <xdr:cNvSpPr txBox="1"/>
      </xdr:nvSpPr>
      <xdr:spPr>
        <a:xfrm>
          <a:off x="38100" y="35737800"/>
          <a:ext cx="7835900"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a:t>Potential Emissions from Non-Emergency &amp; Emergency Operations</a:t>
          </a:r>
        </a:p>
        <a:p>
          <a:endParaRPr lang="en-US" sz="1200"/>
        </a:p>
        <a:p>
          <a:r>
            <a:rPr lang="en-US" sz="1200"/>
            <a:t>Emission estimates for all operations (non-emergency</a:t>
          </a:r>
          <a:r>
            <a:rPr lang="en-US" sz="1200" baseline="0"/>
            <a:t> and emergency operations are based on the same emission factors derived for non-emergency operations).  The annual fuel use limit is being established to limit facility total emissions to below Oregon's Title V major source thresholds (e.g., 100 tpy of NOx)</a:t>
          </a:r>
        </a:p>
        <a:p>
          <a:endParaRPr lang="en-US" sz="1100"/>
        </a:p>
      </xdr:txBody>
    </xdr:sp>
    <xdr:clientData/>
  </xdr:twoCellAnchor>
  <xdr:twoCellAnchor>
    <xdr:from>
      <xdr:col>0</xdr:col>
      <xdr:colOff>165101</xdr:colOff>
      <xdr:row>65</xdr:row>
      <xdr:rowOff>50799</xdr:rowOff>
    </xdr:from>
    <xdr:to>
      <xdr:col>4</xdr:col>
      <xdr:colOff>520701</xdr:colOff>
      <xdr:row>68</xdr:row>
      <xdr:rowOff>167105</xdr:rowOff>
    </xdr:to>
    <xdr:sp macro="" textlink="">
      <xdr:nvSpPr>
        <xdr:cNvPr id="3" name="TextBox 2">
          <a:extLst>
            <a:ext uri="{FF2B5EF4-FFF2-40B4-BE49-F238E27FC236}">
              <a16:creationId xmlns:a16="http://schemas.microsoft.com/office/drawing/2014/main" id="{D9D6389A-6266-9444-98DC-B4D832D8F924}"/>
            </a:ext>
          </a:extLst>
        </xdr:cNvPr>
        <xdr:cNvSpPr txBox="1"/>
      </xdr:nvSpPr>
      <xdr:spPr>
        <a:xfrm>
          <a:off x="165101" y="14566899"/>
          <a:ext cx="6019800" cy="7259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mn-lt"/>
            </a:rPr>
            <a:t>(3) TAC</a:t>
          </a:r>
          <a:r>
            <a:rPr lang="en-US" sz="1200" baseline="0">
              <a:latin typeface="+mn-lt"/>
            </a:rPr>
            <a:t> Emission Factors from ODEQ ATEI Combustion Emission Factor Tool: </a:t>
          </a:r>
          <a:r>
            <a:rPr lang="en-US" sz="1200" b="0" i="0" u="none" strike="noStrike">
              <a:solidFill>
                <a:srgbClr val="000000"/>
              </a:solidFill>
              <a:effectLst/>
              <a:latin typeface="+mn-lt"/>
            </a:rPr>
            <a:t>WebFIRE/ AP-42 Section 1.4 (metals); SCAQMD AB2588 - Default Emission Factors for Fuel Combustion, Table B-1</a:t>
          </a:r>
          <a:r>
            <a:rPr lang="en-US" sz="1200">
              <a:latin typeface="+mn-lt"/>
            </a:rPr>
            <a:t> </a:t>
          </a:r>
          <a:endParaRPr lang="en-US" sz="1400">
            <a:latin typeface="+mn-lt"/>
          </a:endParaRPr>
        </a:p>
      </xdr:txBody>
    </xdr:sp>
    <xdr:clientData/>
  </xdr:twoCellAnchor>
  <xdr:twoCellAnchor>
    <xdr:from>
      <xdr:col>0</xdr:col>
      <xdr:colOff>117642</xdr:colOff>
      <xdr:row>69</xdr:row>
      <xdr:rowOff>127936</xdr:rowOff>
    </xdr:from>
    <xdr:to>
      <xdr:col>4</xdr:col>
      <xdr:colOff>635000</xdr:colOff>
      <xdr:row>73</xdr:row>
      <xdr:rowOff>173182</xdr:rowOff>
    </xdr:to>
    <xdr:sp macro="" textlink="">
      <xdr:nvSpPr>
        <xdr:cNvPr id="4" name="TextBox 3">
          <a:extLst>
            <a:ext uri="{FF2B5EF4-FFF2-40B4-BE49-F238E27FC236}">
              <a16:creationId xmlns:a16="http://schemas.microsoft.com/office/drawing/2014/main" id="{82CB72BC-9356-6B43-8579-39B804A344EB}"/>
            </a:ext>
          </a:extLst>
        </xdr:cNvPr>
        <xdr:cNvSpPr txBox="1"/>
      </xdr:nvSpPr>
      <xdr:spPr>
        <a:xfrm>
          <a:off x="117642" y="15367936"/>
          <a:ext cx="6189063" cy="853428"/>
        </a:xfrm>
        <a:prstGeom prst="rect">
          <a:avLst/>
        </a:prstGeom>
        <a:solidFill>
          <a:schemeClr val="accent2"/>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De minimis emission levels are</a:t>
          </a:r>
          <a:r>
            <a:rPr lang="en-US" sz="1200" baseline="0"/>
            <a:t> 1.0 tpy for each criteria pollutant and 2,756 tpy for greenhouse gases per OAR 340-200-0020(39).  Aggregate expected actual annual emissions from these units are below these levels and the equipment is categorically insignificant per LRAPA 12-005.</a:t>
          </a:r>
        </a:p>
        <a:p>
          <a:endParaRPr lang="en-US" sz="14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38100</xdr:colOff>
      <xdr:row>168</xdr:row>
      <xdr:rowOff>190500</xdr:rowOff>
    </xdr:from>
    <xdr:to>
      <xdr:col>6</xdr:col>
      <xdr:colOff>774700</xdr:colOff>
      <xdr:row>177</xdr:row>
      <xdr:rowOff>50800</xdr:rowOff>
    </xdr:to>
    <xdr:sp macro="" textlink="">
      <xdr:nvSpPr>
        <xdr:cNvPr id="2" name="TextBox 1">
          <a:extLst>
            <a:ext uri="{FF2B5EF4-FFF2-40B4-BE49-F238E27FC236}">
              <a16:creationId xmlns:a16="http://schemas.microsoft.com/office/drawing/2014/main" id="{8ED394C9-2E28-1C46-8FF4-C2BA4560262F}"/>
            </a:ext>
          </a:extLst>
        </xdr:cNvPr>
        <xdr:cNvSpPr txBox="1"/>
      </xdr:nvSpPr>
      <xdr:spPr>
        <a:xfrm>
          <a:off x="38100" y="35737800"/>
          <a:ext cx="7988300"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a:t>Potential Emissions from Non-Emergency &amp; Emergency Operations</a:t>
          </a:r>
        </a:p>
        <a:p>
          <a:endParaRPr lang="en-US" sz="1200"/>
        </a:p>
        <a:p>
          <a:r>
            <a:rPr lang="en-US" sz="1200"/>
            <a:t>Emission estimates for all operations (non-emergency</a:t>
          </a:r>
          <a:r>
            <a:rPr lang="en-US" sz="1200" baseline="0"/>
            <a:t> and emergency operations are based on the same emission factors derived for non-emergency operations).  The annual fuel use limit is being established to limit facility total emissions to below Oregon's Title V major source thresholds (e.g., 100 tpy of NOx)</a:t>
          </a:r>
        </a:p>
        <a:p>
          <a:endParaRPr lang="en-US" sz="1100"/>
        </a:p>
      </xdr:txBody>
    </xdr:sp>
    <xdr:clientData/>
  </xdr:twoCellAnchor>
  <xdr:twoCellAnchor>
    <xdr:from>
      <xdr:col>0</xdr:col>
      <xdr:colOff>165101</xdr:colOff>
      <xdr:row>65</xdr:row>
      <xdr:rowOff>50799</xdr:rowOff>
    </xdr:from>
    <xdr:to>
      <xdr:col>4</xdr:col>
      <xdr:colOff>520701</xdr:colOff>
      <xdr:row>68</xdr:row>
      <xdr:rowOff>167105</xdr:rowOff>
    </xdr:to>
    <xdr:sp macro="" textlink="">
      <xdr:nvSpPr>
        <xdr:cNvPr id="3" name="TextBox 2">
          <a:extLst>
            <a:ext uri="{FF2B5EF4-FFF2-40B4-BE49-F238E27FC236}">
              <a16:creationId xmlns:a16="http://schemas.microsoft.com/office/drawing/2014/main" id="{FB79291E-EAA2-4248-B254-AA859F235AB9}"/>
            </a:ext>
          </a:extLst>
        </xdr:cNvPr>
        <xdr:cNvSpPr txBox="1"/>
      </xdr:nvSpPr>
      <xdr:spPr>
        <a:xfrm>
          <a:off x="165101" y="14566899"/>
          <a:ext cx="6172200" cy="7259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mn-lt"/>
            </a:rPr>
            <a:t>(3) TAC</a:t>
          </a:r>
          <a:r>
            <a:rPr lang="en-US" sz="1200" baseline="0">
              <a:latin typeface="+mn-lt"/>
            </a:rPr>
            <a:t> Emission Factors from ODEQ ATEI Combustion Emission Factor Tool: </a:t>
          </a:r>
          <a:r>
            <a:rPr lang="en-US" sz="1200" b="0" i="0" u="none" strike="noStrike">
              <a:solidFill>
                <a:srgbClr val="000000"/>
              </a:solidFill>
              <a:effectLst/>
              <a:latin typeface="+mn-lt"/>
            </a:rPr>
            <a:t>WebFIRE/ AP-42 Section 1.4 (metals); SCAQMD AB2588 - Default Emission Factors for Fuel Combustion, Table B-1</a:t>
          </a:r>
          <a:r>
            <a:rPr lang="en-US" sz="1200">
              <a:latin typeface="+mn-lt"/>
            </a:rPr>
            <a:t> </a:t>
          </a:r>
          <a:endParaRPr lang="en-US" sz="1400">
            <a:latin typeface="+mn-lt"/>
          </a:endParaRPr>
        </a:p>
      </xdr:txBody>
    </xdr:sp>
    <xdr:clientData/>
  </xdr:twoCellAnchor>
  <xdr:twoCellAnchor>
    <xdr:from>
      <xdr:col>0</xdr:col>
      <xdr:colOff>117642</xdr:colOff>
      <xdr:row>69</xdr:row>
      <xdr:rowOff>127936</xdr:rowOff>
    </xdr:from>
    <xdr:to>
      <xdr:col>4</xdr:col>
      <xdr:colOff>582706</xdr:colOff>
      <xdr:row>73</xdr:row>
      <xdr:rowOff>134470</xdr:rowOff>
    </xdr:to>
    <xdr:sp macro="" textlink="">
      <xdr:nvSpPr>
        <xdr:cNvPr id="4" name="TextBox 3">
          <a:extLst>
            <a:ext uri="{FF2B5EF4-FFF2-40B4-BE49-F238E27FC236}">
              <a16:creationId xmlns:a16="http://schemas.microsoft.com/office/drawing/2014/main" id="{91833EEE-A7D4-7749-A462-EDC5CF1BF753}"/>
            </a:ext>
          </a:extLst>
        </xdr:cNvPr>
        <xdr:cNvSpPr txBox="1"/>
      </xdr:nvSpPr>
      <xdr:spPr>
        <a:xfrm>
          <a:off x="117642" y="15771348"/>
          <a:ext cx="6277182" cy="843240"/>
        </a:xfrm>
        <a:prstGeom prst="rect">
          <a:avLst/>
        </a:prstGeom>
        <a:solidFill>
          <a:schemeClr val="accent2"/>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De minimis emission levels are</a:t>
          </a:r>
          <a:r>
            <a:rPr lang="en-US" sz="1200" baseline="0"/>
            <a:t> 1.0 tpy for each criteria pollutant and 2,756 tpy for greenhouse gases per OAR 340-200-0020(39).  Aggregate expected actual annual emissions from these units are below these levels and the equipment is categorically insignificant per LRAPA 12-005.</a:t>
          </a:r>
        </a:p>
        <a:p>
          <a:endParaRPr lang="en-US" sz="14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38100</xdr:colOff>
      <xdr:row>168</xdr:row>
      <xdr:rowOff>190500</xdr:rowOff>
    </xdr:from>
    <xdr:to>
      <xdr:col>6</xdr:col>
      <xdr:colOff>774700</xdr:colOff>
      <xdr:row>177</xdr:row>
      <xdr:rowOff>50800</xdr:rowOff>
    </xdr:to>
    <xdr:sp macro="" textlink="">
      <xdr:nvSpPr>
        <xdr:cNvPr id="2" name="TextBox 1">
          <a:extLst>
            <a:ext uri="{FF2B5EF4-FFF2-40B4-BE49-F238E27FC236}">
              <a16:creationId xmlns:a16="http://schemas.microsoft.com/office/drawing/2014/main" id="{5E94A1B0-4A28-114F-A1EB-4C897E87DC9E}"/>
            </a:ext>
          </a:extLst>
        </xdr:cNvPr>
        <xdr:cNvSpPr txBox="1"/>
      </xdr:nvSpPr>
      <xdr:spPr>
        <a:xfrm>
          <a:off x="38100" y="35737800"/>
          <a:ext cx="7835900"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a:t>Potential Emissions from Non-Emergency &amp; Emergency Operations</a:t>
          </a:r>
        </a:p>
        <a:p>
          <a:endParaRPr lang="en-US" sz="1200"/>
        </a:p>
        <a:p>
          <a:r>
            <a:rPr lang="en-US" sz="1200"/>
            <a:t>Emission estimates for all operations (non-emergency</a:t>
          </a:r>
          <a:r>
            <a:rPr lang="en-US" sz="1200" baseline="0"/>
            <a:t> and emergency operations are based on the same emission factors derived for non-emergency operations).  The annual fuel use limit is being established to limit facility total emissions to below Oregon's Title V major source thresholds (e.g., 100 tpy of NOx)</a:t>
          </a:r>
        </a:p>
        <a:p>
          <a:endParaRPr lang="en-US" sz="1100"/>
        </a:p>
      </xdr:txBody>
    </xdr:sp>
    <xdr:clientData/>
  </xdr:twoCellAnchor>
  <xdr:twoCellAnchor>
    <xdr:from>
      <xdr:col>0</xdr:col>
      <xdr:colOff>165101</xdr:colOff>
      <xdr:row>65</xdr:row>
      <xdr:rowOff>50799</xdr:rowOff>
    </xdr:from>
    <xdr:to>
      <xdr:col>4</xdr:col>
      <xdr:colOff>520701</xdr:colOff>
      <xdr:row>68</xdr:row>
      <xdr:rowOff>167105</xdr:rowOff>
    </xdr:to>
    <xdr:sp macro="" textlink="">
      <xdr:nvSpPr>
        <xdr:cNvPr id="3" name="TextBox 2">
          <a:extLst>
            <a:ext uri="{FF2B5EF4-FFF2-40B4-BE49-F238E27FC236}">
              <a16:creationId xmlns:a16="http://schemas.microsoft.com/office/drawing/2014/main" id="{2DFCF224-DC8A-354F-AD73-F54174E93E28}"/>
            </a:ext>
          </a:extLst>
        </xdr:cNvPr>
        <xdr:cNvSpPr txBox="1"/>
      </xdr:nvSpPr>
      <xdr:spPr>
        <a:xfrm>
          <a:off x="165101" y="14566899"/>
          <a:ext cx="6019800" cy="7259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mn-lt"/>
            </a:rPr>
            <a:t>(3) TAC</a:t>
          </a:r>
          <a:r>
            <a:rPr lang="en-US" sz="1200" baseline="0">
              <a:latin typeface="+mn-lt"/>
            </a:rPr>
            <a:t> Emission Factors from ODEQ ATEI Combustion Emission Factor Tool: </a:t>
          </a:r>
          <a:r>
            <a:rPr lang="en-US" sz="1200" b="0" i="0" u="none" strike="noStrike">
              <a:solidFill>
                <a:srgbClr val="000000"/>
              </a:solidFill>
              <a:effectLst/>
              <a:latin typeface="+mn-lt"/>
            </a:rPr>
            <a:t>WebFIRE/ AP-42 Section 1.4 (metals); SCAQMD AB2588 - Default Emission Factors for Fuel Combustion, Table B-1</a:t>
          </a:r>
          <a:r>
            <a:rPr lang="en-US" sz="1200">
              <a:latin typeface="+mn-lt"/>
            </a:rPr>
            <a:t> </a:t>
          </a:r>
          <a:endParaRPr lang="en-US" sz="1400">
            <a:latin typeface="+mn-lt"/>
          </a:endParaRPr>
        </a:p>
      </xdr:txBody>
    </xdr:sp>
    <xdr:clientData/>
  </xdr:twoCellAnchor>
  <xdr:twoCellAnchor>
    <xdr:from>
      <xdr:col>0</xdr:col>
      <xdr:colOff>117643</xdr:colOff>
      <xdr:row>69</xdr:row>
      <xdr:rowOff>127936</xdr:rowOff>
    </xdr:from>
    <xdr:to>
      <xdr:col>4</xdr:col>
      <xdr:colOff>453571</xdr:colOff>
      <xdr:row>73</xdr:row>
      <xdr:rowOff>120952</xdr:rowOff>
    </xdr:to>
    <xdr:sp macro="" textlink="">
      <xdr:nvSpPr>
        <xdr:cNvPr id="4" name="TextBox 3">
          <a:extLst>
            <a:ext uri="{FF2B5EF4-FFF2-40B4-BE49-F238E27FC236}">
              <a16:creationId xmlns:a16="http://schemas.microsoft.com/office/drawing/2014/main" id="{99339311-A15E-2840-B01A-C83A09AB844A}"/>
            </a:ext>
          </a:extLst>
        </xdr:cNvPr>
        <xdr:cNvSpPr txBox="1"/>
      </xdr:nvSpPr>
      <xdr:spPr>
        <a:xfrm>
          <a:off x="117643" y="15186507"/>
          <a:ext cx="6005571" cy="779207"/>
        </a:xfrm>
        <a:prstGeom prst="rect">
          <a:avLst/>
        </a:prstGeom>
        <a:solidFill>
          <a:schemeClr val="accent2"/>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De minimis emission levels are</a:t>
          </a:r>
          <a:r>
            <a:rPr lang="en-US" sz="1200" baseline="0"/>
            <a:t> 1.0 tpy for each criteria pollutant and 2,756 tpy for greenhouse gases per OAR 340-200-0020(39).  Aggregate expected actual annual emissions from these units are below these levels and the equipment is categorically insignificant per LRAPA 12-005.</a:t>
          </a:r>
        </a:p>
        <a:p>
          <a:endParaRPr lang="en-US" sz="14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38100</xdr:colOff>
      <xdr:row>171</xdr:row>
      <xdr:rowOff>190500</xdr:rowOff>
    </xdr:from>
    <xdr:to>
      <xdr:col>7</xdr:col>
      <xdr:colOff>774700</xdr:colOff>
      <xdr:row>180</xdr:row>
      <xdr:rowOff>50800</xdr:rowOff>
    </xdr:to>
    <xdr:sp macro="" textlink="">
      <xdr:nvSpPr>
        <xdr:cNvPr id="2" name="TextBox 1">
          <a:extLst>
            <a:ext uri="{FF2B5EF4-FFF2-40B4-BE49-F238E27FC236}">
              <a16:creationId xmlns:a16="http://schemas.microsoft.com/office/drawing/2014/main" id="{672F4424-3EDF-1D45-B118-3B0AE52A1425}"/>
            </a:ext>
          </a:extLst>
        </xdr:cNvPr>
        <xdr:cNvSpPr txBox="1"/>
      </xdr:nvSpPr>
      <xdr:spPr>
        <a:xfrm>
          <a:off x="38100" y="35737800"/>
          <a:ext cx="7988300"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a:t>Potential Emissions from Non-Emergency &amp; Emergency Operations</a:t>
          </a:r>
        </a:p>
        <a:p>
          <a:endParaRPr lang="en-US" sz="1200"/>
        </a:p>
        <a:p>
          <a:r>
            <a:rPr lang="en-US" sz="1200"/>
            <a:t>Emission estimates for all operations (non-emergency</a:t>
          </a:r>
          <a:r>
            <a:rPr lang="en-US" sz="1200" baseline="0"/>
            <a:t> and emergency operations are based on the same emission factors derived for non-emergency operations).  The annual fuel use limit is being established to limit facility total emissions to below Oregon's Title V major source thresholds (e.g., 100 tpy of NOx)</a:t>
          </a:r>
        </a:p>
        <a:p>
          <a:endParaRPr lang="en-US" sz="1100"/>
        </a:p>
      </xdr:txBody>
    </xdr:sp>
    <xdr:clientData/>
  </xdr:twoCellAnchor>
  <xdr:twoCellAnchor>
    <xdr:from>
      <xdr:col>0</xdr:col>
      <xdr:colOff>165101</xdr:colOff>
      <xdr:row>68</xdr:row>
      <xdr:rowOff>50799</xdr:rowOff>
    </xdr:from>
    <xdr:to>
      <xdr:col>4</xdr:col>
      <xdr:colOff>520701</xdr:colOff>
      <xdr:row>71</xdr:row>
      <xdr:rowOff>167105</xdr:rowOff>
    </xdr:to>
    <xdr:sp macro="" textlink="">
      <xdr:nvSpPr>
        <xdr:cNvPr id="3" name="TextBox 2">
          <a:extLst>
            <a:ext uri="{FF2B5EF4-FFF2-40B4-BE49-F238E27FC236}">
              <a16:creationId xmlns:a16="http://schemas.microsoft.com/office/drawing/2014/main" id="{D42BB6C6-73E5-8C45-A13B-8C33B29F3B80}"/>
            </a:ext>
          </a:extLst>
        </xdr:cNvPr>
        <xdr:cNvSpPr txBox="1"/>
      </xdr:nvSpPr>
      <xdr:spPr>
        <a:xfrm>
          <a:off x="165101" y="14566899"/>
          <a:ext cx="6172200" cy="7259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mn-lt"/>
            </a:rPr>
            <a:t>(3) TAC</a:t>
          </a:r>
          <a:r>
            <a:rPr lang="en-US" sz="1200" baseline="0">
              <a:latin typeface="+mn-lt"/>
            </a:rPr>
            <a:t> Emission Factors from ODEQ ATEI Combustion Emission Factor Tool: </a:t>
          </a:r>
          <a:r>
            <a:rPr lang="en-US" sz="1200" b="0" i="0" u="none" strike="noStrike">
              <a:solidFill>
                <a:srgbClr val="000000"/>
              </a:solidFill>
              <a:effectLst/>
              <a:latin typeface="+mn-lt"/>
            </a:rPr>
            <a:t>WebFIRE/ AP-42 Section 1.4 (metals); SCAQMD AB2588 - Default Emission Factors for Fuel Combustion, Table B-1</a:t>
          </a:r>
          <a:r>
            <a:rPr lang="en-US" sz="1200">
              <a:latin typeface="+mn-lt"/>
            </a:rPr>
            <a:t> </a:t>
          </a:r>
          <a:endParaRPr lang="en-US" sz="1400">
            <a:latin typeface="+mn-l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168</xdr:row>
      <xdr:rowOff>190500</xdr:rowOff>
    </xdr:from>
    <xdr:to>
      <xdr:col>6</xdr:col>
      <xdr:colOff>774700</xdr:colOff>
      <xdr:row>177</xdr:row>
      <xdr:rowOff>50800</xdr:rowOff>
    </xdr:to>
    <xdr:sp macro="" textlink="">
      <xdr:nvSpPr>
        <xdr:cNvPr id="2" name="TextBox 1">
          <a:extLst>
            <a:ext uri="{FF2B5EF4-FFF2-40B4-BE49-F238E27FC236}">
              <a16:creationId xmlns:a16="http://schemas.microsoft.com/office/drawing/2014/main" id="{97DB3CF4-9596-3A44-9EFE-57F29F4CADB5}"/>
            </a:ext>
          </a:extLst>
        </xdr:cNvPr>
        <xdr:cNvSpPr txBox="1"/>
      </xdr:nvSpPr>
      <xdr:spPr>
        <a:xfrm>
          <a:off x="38100" y="35737800"/>
          <a:ext cx="7988300"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a:t>Potential Emissions from Non-Emergency &amp; Emergency Operations</a:t>
          </a:r>
        </a:p>
        <a:p>
          <a:endParaRPr lang="en-US" sz="1200"/>
        </a:p>
        <a:p>
          <a:r>
            <a:rPr lang="en-US" sz="1200"/>
            <a:t>Emission estimates for all operations (non-emergency</a:t>
          </a:r>
          <a:r>
            <a:rPr lang="en-US" sz="1200" baseline="0"/>
            <a:t> and emergency operations are based on the same emission factors derived for non-emergency operations).  The annual fuel use limit is being established to limit facility total emissions to below Oregon's Title V major source thresholds (e.g., 100 tpy of NOx)</a:t>
          </a:r>
        </a:p>
        <a:p>
          <a:endParaRPr lang="en-US" sz="1100"/>
        </a:p>
      </xdr:txBody>
    </xdr:sp>
    <xdr:clientData/>
  </xdr:twoCellAnchor>
  <xdr:twoCellAnchor>
    <xdr:from>
      <xdr:col>0</xdr:col>
      <xdr:colOff>165101</xdr:colOff>
      <xdr:row>65</xdr:row>
      <xdr:rowOff>50799</xdr:rowOff>
    </xdr:from>
    <xdr:to>
      <xdr:col>4</xdr:col>
      <xdr:colOff>520701</xdr:colOff>
      <xdr:row>68</xdr:row>
      <xdr:rowOff>167105</xdr:rowOff>
    </xdr:to>
    <xdr:sp macro="" textlink="">
      <xdr:nvSpPr>
        <xdr:cNvPr id="3" name="TextBox 2">
          <a:extLst>
            <a:ext uri="{FF2B5EF4-FFF2-40B4-BE49-F238E27FC236}">
              <a16:creationId xmlns:a16="http://schemas.microsoft.com/office/drawing/2014/main" id="{3CF6C60C-22FD-874B-AF8C-3AB870858197}"/>
            </a:ext>
          </a:extLst>
        </xdr:cNvPr>
        <xdr:cNvSpPr txBox="1"/>
      </xdr:nvSpPr>
      <xdr:spPr>
        <a:xfrm>
          <a:off x="165101" y="14566899"/>
          <a:ext cx="6172200" cy="7259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mn-lt"/>
            </a:rPr>
            <a:t>(3) TAC</a:t>
          </a:r>
          <a:r>
            <a:rPr lang="en-US" sz="1200" baseline="0">
              <a:latin typeface="+mn-lt"/>
            </a:rPr>
            <a:t> Emission Factors from ODEQ ATEI Combustion Emission Factor Tool: </a:t>
          </a:r>
          <a:r>
            <a:rPr lang="en-US" sz="1200" b="0" i="0" u="none" strike="noStrike">
              <a:solidFill>
                <a:srgbClr val="000000"/>
              </a:solidFill>
              <a:effectLst/>
              <a:latin typeface="+mn-lt"/>
            </a:rPr>
            <a:t>WebFIRE/ AP-42 Section 1.4 (metals); SCAQMD AB2588 - Default Emission Factors for Fuel Combustion, Table B-1</a:t>
          </a:r>
          <a:r>
            <a:rPr lang="en-US" sz="1200">
              <a:latin typeface="+mn-lt"/>
            </a:rPr>
            <a:t> </a:t>
          </a:r>
          <a:endParaRPr lang="en-US" sz="1400">
            <a:latin typeface="+mn-l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330200</xdr:colOff>
      <xdr:row>5</xdr:row>
      <xdr:rowOff>114300</xdr:rowOff>
    </xdr:from>
    <xdr:to>
      <xdr:col>10</xdr:col>
      <xdr:colOff>711200</xdr:colOff>
      <xdr:row>13</xdr:row>
      <xdr:rowOff>88900</xdr:rowOff>
    </xdr:to>
    <xdr:sp macro="" textlink="">
      <xdr:nvSpPr>
        <xdr:cNvPr id="2" name="TextBox 1">
          <a:extLst>
            <a:ext uri="{FF2B5EF4-FFF2-40B4-BE49-F238E27FC236}">
              <a16:creationId xmlns:a16="http://schemas.microsoft.com/office/drawing/2014/main" id="{9558BC48-A65D-2D4A-A534-BA32B6B610E2}"/>
            </a:ext>
          </a:extLst>
        </xdr:cNvPr>
        <xdr:cNvSpPr txBox="1"/>
      </xdr:nvSpPr>
      <xdr:spPr>
        <a:xfrm>
          <a:off x="330200" y="1219200"/>
          <a:ext cx="9537700" cy="1600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baseline="0"/>
        </a:p>
        <a:p>
          <a:r>
            <a:rPr lang="en-US" sz="1100"/>
            <a:t>Emission estimates are based on EPA's AP-42 (Chapter</a:t>
          </a:r>
          <a:r>
            <a:rPr lang="en-US" sz="1100" baseline="0"/>
            <a:t> 12.20.2) equation 4 as follows (See Note 1):</a:t>
          </a:r>
        </a:p>
      </xdr:txBody>
    </xdr:sp>
    <xdr:clientData/>
  </xdr:twoCellAnchor>
  <xdr:twoCellAnchor editAs="oneCell">
    <xdr:from>
      <xdr:col>0</xdr:col>
      <xdr:colOff>435770</xdr:colOff>
      <xdr:row>8</xdr:row>
      <xdr:rowOff>107950</xdr:rowOff>
    </xdr:from>
    <xdr:to>
      <xdr:col>3</xdr:col>
      <xdr:colOff>758030</xdr:colOff>
      <xdr:row>10</xdr:row>
      <xdr:rowOff>196850</xdr:rowOff>
    </xdr:to>
    <xdr:pic>
      <xdr:nvPicPr>
        <xdr:cNvPr id="3" name="Picture 2">
          <a:extLst>
            <a:ext uri="{FF2B5EF4-FFF2-40B4-BE49-F238E27FC236}">
              <a16:creationId xmlns:a16="http://schemas.microsoft.com/office/drawing/2014/main" id="{06B3D8FE-C241-0345-8999-21E7148BF130}"/>
            </a:ext>
          </a:extLst>
        </xdr:cNvPr>
        <xdr:cNvPicPr>
          <a:picLocks noChangeAspect="1"/>
        </xdr:cNvPicPr>
      </xdr:nvPicPr>
      <xdr:blipFill>
        <a:blip xmlns:r="http://schemas.openxmlformats.org/officeDocument/2006/relationships" r:embed="rId1"/>
        <a:stretch>
          <a:fillRect/>
        </a:stretch>
      </xdr:blipFill>
      <xdr:spPr>
        <a:xfrm>
          <a:off x="435770" y="1758950"/>
          <a:ext cx="3116260" cy="495300"/>
        </a:xfrm>
        <a:prstGeom prst="rect">
          <a:avLst/>
        </a:prstGeom>
      </xdr:spPr>
    </xdr:pic>
    <xdr:clientData/>
  </xdr:twoCellAnchor>
  <xdr:twoCellAnchor editAs="oneCell">
    <xdr:from>
      <xdr:col>6</xdr:col>
      <xdr:colOff>165497</xdr:colOff>
      <xdr:row>7</xdr:row>
      <xdr:rowOff>168378</xdr:rowOff>
    </xdr:from>
    <xdr:to>
      <xdr:col>9</xdr:col>
      <xdr:colOff>122676</xdr:colOff>
      <xdr:row>12</xdr:row>
      <xdr:rowOff>1356</xdr:rowOff>
    </xdr:to>
    <xdr:pic>
      <xdr:nvPicPr>
        <xdr:cNvPr id="4" name="Picture 3">
          <a:extLst>
            <a:ext uri="{FF2B5EF4-FFF2-40B4-BE49-F238E27FC236}">
              <a16:creationId xmlns:a16="http://schemas.microsoft.com/office/drawing/2014/main" id="{637C7953-F636-CB49-AE72-7E5FADD9E6D9}"/>
            </a:ext>
          </a:extLst>
        </xdr:cNvPr>
        <xdr:cNvPicPr>
          <a:picLocks noChangeAspect="1"/>
        </xdr:cNvPicPr>
      </xdr:nvPicPr>
      <xdr:blipFill>
        <a:blip xmlns:r="http://schemas.openxmlformats.org/officeDocument/2006/relationships" r:embed="rId2"/>
        <a:stretch>
          <a:fillRect/>
        </a:stretch>
      </xdr:blipFill>
      <xdr:spPr>
        <a:xfrm>
          <a:off x="5447422" y="1672186"/>
          <a:ext cx="3310768" cy="838231"/>
        </a:xfrm>
        <a:prstGeom prst="rect">
          <a:avLst/>
        </a:prstGeom>
      </xdr:spPr>
    </xdr:pic>
    <xdr:clientData/>
  </xdr:twoCellAnchor>
  <xdr:twoCellAnchor>
    <xdr:from>
      <xdr:col>0</xdr:col>
      <xdr:colOff>0</xdr:colOff>
      <xdr:row>39</xdr:row>
      <xdr:rowOff>0</xdr:rowOff>
    </xdr:from>
    <xdr:to>
      <xdr:col>16</xdr:col>
      <xdr:colOff>0</xdr:colOff>
      <xdr:row>45</xdr:row>
      <xdr:rowOff>190500</xdr:rowOff>
    </xdr:to>
    <xdr:sp macro="" textlink="">
      <xdr:nvSpPr>
        <xdr:cNvPr id="5" name="TextBox 4">
          <a:extLst>
            <a:ext uri="{FF2B5EF4-FFF2-40B4-BE49-F238E27FC236}">
              <a16:creationId xmlns:a16="http://schemas.microsoft.com/office/drawing/2014/main" id="{F2653117-FE69-F34F-9653-D6AF9DC1B8B2}"/>
            </a:ext>
          </a:extLst>
        </xdr:cNvPr>
        <xdr:cNvSpPr txBox="1"/>
      </xdr:nvSpPr>
      <xdr:spPr>
        <a:xfrm>
          <a:off x="0" y="8039100"/>
          <a:ext cx="14706600" cy="1409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u="sng"/>
            <a:t>Notes</a:t>
          </a:r>
        </a:p>
        <a:p>
          <a:endParaRPr lang="en-US" sz="1100"/>
        </a:p>
        <a:p>
          <a:r>
            <a:rPr lang="en-US" sz="1100"/>
            <a:t>Note 1:  Non aerated, non electrolytic tanks not containing volatile organic solvents are assummed to have negligible emissions as indicated in EPA's</a:t>
          </a:r>
          <a:r>
            <a:rPr lang="en-US" sz="1100" baseline="0"/>
            <a:t> "The Metal Finishing Facility Risk Screening Tool (MFFRST): Technical Documentation and User's Guide" (EPA/600/R-01/057), July, 2001, pg 2-33.  To be conservative, emissions from the pretreatment immersion bath tanks were estimated using the EPA equation for  electroplating emissions even though emissions should be negligible. Default parameters for surface tension, average bubble radius and aeration rate are taken from the MFFRST document page 2-36.</a:t>
          </a:r>
        </a:p>
        <a:p>
          <a:endParaRPr lang="en-US" sz="1100" baseline="0"/>
        </a:p>
        <a:p>
          <a:r>
            <a:rPr lang="en-US" sz="1100" baseline="0"/>
            <a:t>Note 2:  Where additives contained zinc- or nickel- based chemicals, the chemicals were assumed to fall under the CAS for zinc or nickel compounds if the CAS for the chemical was not on the DEQ list of air toxics.</a:t>
          </a:r>
        </a:p>
        <a:p>
          <a:r>
            <a:rPr lang="en-US" sz="1100" baseline="0"/>
            <a:t>Note 3: MWAF = Molecular Weight Adjustment Factor to express the emssion rate as the weight of the metal atom contained in the overall compound where necessary.</a:t>
          </a:r>
        </a:p>
        <a:p>
          <a:endParaRPr lang="en-US" sz="1100" baseline="0"/>
        </a:p>
        <a:p>
          <a:endParaRPr 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135</xdr:row>
      <xdr:rowOff>190500</xdr:rowOff>
    </xdr:from>
    <xdr:to>
      <xdr:col>7</xdr:col>
      <xdr:colOff>774700</xdr:colOff>
      <xdr:row>144</xdr:row>
      <xdr:rowOff>50800</xdr:rowOff>
    </xdr:to>
    <xdr:sp macro="" textlink="">
      <xdr:nvSpPr>
        <xdr:cNvPr id="2" name="TextBox 1">
          <a:extLst>
            <a:ext uri="{FF2B5EF4-FFF2-40B4-BE49-F238E27FC236}">
              <a16:creationId xmlns:a16="http://schemas.microsoft.com/office/drawing/2014/main" id="{9F22AABC-C3C7-0846-8A02-258E65BD5366}"/>
            </a:ext>
          </a:extLst>
        </xdr:cNvPr>
        <xdr:cNvSpPr txBox="1"/>
      </xdr:nvSpPr>
      <xdr:spPr>
        <a:xfrm>
          <a:off x="38100" y="35737800"/>
          <a:ext cx="7835900"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a:t>Potential Emissions from Non-Emergency &amp; Emergency Operations</a:t>
          </a:r>
        </a:p>
        <a:p>
          <a:endParaRPr lang="en-US" sz="1200"/>
        </a:p>
        <a:p>
          <a:r>
            <a:rPr lang="en-US" sz="1200"/>
            <a:t>Emission estimates for all operations (non-emergency</a:t>
          </a:r>
          <a:r>
            <a:rPr lang="en-US" sz="1200" baseline="0"/>
            <a:t> and emergency operations are based on the same emission factors derived for non-emergency operations).  The annual fuel use limit is being established to limit facility total emissions to below Oregon's Title V major source thresholds (e.g., 100 tpy of NOx)</a:t>
          </a:r>
        </a:p>
        <a:p>
          <a:endParaRPr lang="en-US" sz="1100"/>
        </a:p>
      </xdr:txBody>
    </xdr:sp>
    <xdr:clientData/>
  </xdr:twoCellAnchor>
  <xdr:twoCellAnchor>
    <xdr:from>
      <xdr:col>0</xdr:col>
      <xdr:colOff>165101</xdr:colOff>
      <xdr:row>32</xdr:row>
      <xdr:rowOff>50799</xdr:rowOff>
    </xdr:from>
    <xdr:to>
      <xdr:col>5</xdr:col>
      <xdr:colOff>520701</xdr:colOff>
      <xdr:row>36</xdr:row>
      <xdr:rowOff>193842</xdr:rowOff>
    </xdr:to>
    <xdr:sp macro="" textlink="">
      <xdr:nvSpPr>
        <xdr:cNvPr id="3" name="TextBox 2">
          <a:extLst>
            <a:ext uri="{FF2B5EF4-FFF2-40B4-BE49-F238E27FC236}">
              <a16:creationId xmlns:a16="http://schemas.microsoft.com/office/drawing/2014/main" id="{00F4AEBC-1CA5-4C47-9D64-410146C2740F}"/>
            </a:ext>
          </a:extLst>
        </xdr:cNvPr>
        <xdr:cNvSpPr txBox="1"/>
      </xdr:nvSpPr>
      <xdr:spPr>
        <a:xfrm>
          <a:off x="165101" y="6668167"/>
          <a:ext cx="6023811" cy="9451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0" i="0" u="none" strike="noStrike">
              <a:solidFill>
                <a:schemeClr val="dk1"/>
              </a:solidFill>
              <a:effectLst/>
              <a:latin typeface="+mn-lt"/>
              <a:ea typeface="+mn-ea"/>
              <a:cs typeface="+mn-cs"/>
            </a:rPr>
            <a:t>(2) AP-42  Table 12.19-2 (converted from units of 0.1 lb/1000</a:t>
          </a:r>
          <a:r>
            <a:rPr lang="en-US" sz="1100" b="0" i="0" u="none" strike="noStrike" baseline="0">
              <a:solidFill>
                <a:schemeClr val="dk1"/>
              </a:solidFill>
              <a:effectLst/>
              <a:latin typeface="+mn-lt"/>
              <a:ea typeface="+mn-ea"/>
              <a:cs typeface="+mn-cs"/>
            </a:rPr>
            <a:t> lb electrode)</a:t>
          </a:r>
        </a:p>
        <a:p>
          <a:endParaRPr lang="en-US" sz="1100" b="0" i="0" u="none" strike="noStrike">
            <a:solidFill>
              <a:schemeClr val="dk1"/>
            </a:solidFill>
            <a:effectLst/>
            <a:latin typeface="+mn-lt"/>
            <a:ea typeface="+mn-ea"/>
            <a:cs typeface="+mn-cs"/>
          </a:endParaRPr>
        </a:p>
        <a:p>
          <a:r>
            <a:rPr lang="en-US" sz="1100" b="0" i="0" u="none" strike="noStrike">
              <a:solidFill>
                <a:schemeClr val="tx1"/>
              </a:solidFill>
              <a:effectLst/>
              <a:latin typeface="+mn-lt"/>
              <a:ea typeface="+mn-ea"/>
              <a:cs typeface="+mn-cs"/>
            </a:rPr>
            <a:t>Note:</a:t>
          </a:r>
          <a:r>
            <a:rPr lang="en-US" sz="1100" b="0" i="0" u="none" strike="noStrike" baseline="0">
              <a:solidFill>
                <a:schemeClr val="tx1"/>
              </a:solidFill>
              <a:effectLst/>
              <a:latin typeface="+mn-lt"/>
              <a:ea typeface="+mn-ea"/>
              <a:cs typeface="+mn-cs"/>
            </a:rPr>
            <a:t> Chromium compounds are HAPs but not TACs.  AP-42 emission factor for Cr(VI), and ODEQ TAC is "ND"</a:t>
          </a:r>
          <a:endParaRPr lang="en-US" sz="1400">
            <a:solidFill>
              <a:schemeClr val="tx1"/>
            </a:solidFill>
            <a:latin typeface="+mn-l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84667</xdr:colOff>
      <xdr:row>9</xdr:row>
      <xdr:rowOff>95250</xdr:rowOff>
    </xdr:from>
    <xdr:to>
      <xdr:col>5</xdr:col>
      <xdr:colOff>973667</xdr:colOff>
      <xdr:row>13</xdr:row>
      <xdr:rowOff>25400</xdr:rowOff>
    </xdr:to>
    <xdr:sp macro="" textlink="">
      <xdr:nvSpPr>
        <xdr:cNvPr id="2" name="TextBox 1">
          <a:extLst>
            <a:ext uri="{FF2B5EF4-FFF2-40B4-BE49-F238E27FC236}">
              <a16:creationId xmlns:a16="http://schemas.microsoft.com/office/drawing/2014/main" id="{30462567-2E55-4E46-B48F-E5A66571BC19}"/>
            </a:ext>
          </a:extLst>
        </xdr:cNvPr>
        <xdr:cNvSpPr txBox="1"/>
      </xdr:nvSpPr>
      <xdr:spPr>
        <a:xfrm>
          <a:off x="84667" y="2279650"/>
          <a:ext cx="7861300" cy="692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Notes:</a:t>
          </a:r>
        </a:p>
        <a:p>
          <a:r>
            <a:rPr lang="en-US" sz="1100"/>
            <a:t>Steel</a:t>
          </a:r>
          <a:r>
            <a:rPr lang="en-US" sz="1100" baseline="0"/>
            <a:t> metal thickness range is 1/16 - 3/4", kerf width range is 0.2-1 mm, cutting speed range is 20-2000 in./min.</a:t>
          </a:r>
        </a:p>
        <a:p>
          <a:pPr marL="0" marR="0" lvl="0" indent="0" defTabSz="914400" eaLnBrk="1" fontAlgn="auto" latinLnBrk="0" hangingPunct="1">
            <a:lnSpc>
              <a:spcPct val="100000"/>
            </a:lnSpc>
            <a:spcBef>
              <a:spcPts val="0"/>
            </a:spcBef>
            <a:spcAft>
              <a:spcPts val="0"/>
            </a:spcAft>
            <a:buClrTx/>
            <a:buSzTx/>
            <a:buFontTx/>
            <a:buNone/>
            <a:tabLst/>
            <a:defRPr/>
          </a:pPr>
          <a:r>
            <a:rPr lang="en-US" sz="1100"/>
            <a:t>Copper</a:t>
          </a:r>
          <a:r>
            <a:rPr lang="en-US" sz="1100" baseline="0"/>
            <a:t> metal thickness range is 1/8 - 3/16", kerf width is 0.4 mm, cutting speed range is 50-400 in./min.</a:t>
          </a:r>
          <a:endParaRPr lang="en-US" sz="1100"/>
        </a:p>
        <a:p>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browning/Bridgewater%20Group%20Dropbox/John%20Browning/Arcimoto/Chem_Bath_Calculations/EIQDEC04.xls"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Jamie/Project%20Work/Linde%20Gas%20NA%20LLC/09013.29,%20Gen.%20Consult%204.2004%20-%2012.2005/Clean-up%20Amendment%20-%20October%202005/Documents%20and%20Settings/HERVEYC/Local%20Settings/Temp/EHS/AIR/white/refinery%20verp/refinery%20verp%20tables%20update.xls?D40355B8" TargetMode="External"/><Relationship Id="rId1" Type="http://schemas.openxmlformats.org/officeDocument/2006/relationships/externalLinkPath" Target="file:///D40355B8/refinery%20verp%20tables%20updat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browning/Bridgewater%20Group%20Dropbox/John%20Browning/Arcimoto/Chem_Bath_Calculations/TOCAL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jbrowning/Bridgewater%20Group%20Dropbox/John%20Browning/Arcimoto/Chem_Bath_Calculations/Hhv.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C:/Users/jbrowning/Documents/Schnitzer_Confidential/Air_Permitting/Stand_ACDP_Appl_WIP/smrymai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jbrowning/Bridgewater%20Group%20Dropbox/John%20Browning/Arcimoto/Chem_Bath_Calculations/Comm%20Generator%20C3%20EIQ%20(Go%20BY).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jbrowning/Bridgewater%20Group%20Dropbox/John%20Browning/Arcimoto/Chem_Bath_Calculations/Universal_Aero_air_calcs_R1.xlsx"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file:///E:/Users/jbrowning/Documents/Intel_PSD/0_From_SP_Post_App_Submission/ApplicationLetter+FluorideAssess/1_Application/3_App_C_Emissions_Calculations_J_Browning/PermitApplicationEmissionRates11-19_sbs%20122214_jpb_12_26_14.xlsx?BF0A7CF9" TargetMode="External"/><Relationship Id="rId1" Type="http://schemas.openxmlformats.org/officeDocument/2006/relationships/externalLinkPath" Target="file:///BF0A7CF9/PermitApplicationEmissionRates11-19_sbs%20122214_jpb_12_26_14.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C:/Users/jbrowning/Documents/Air_Toxics_Gen/AT_EFs_Combustion.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C:/Users/jbrowning/Documents/Myers_New_Oregon_Facility/EI_and_Risk_Assessment/Myers_EI_WIP.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jbrowning/Bridgewater%20Group%20Dropbox/John%20Browning/Arcimoto/Chem_Bath_Calculations/FLAR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C:/Users/jbrowning/Documents/Schnitzer_Confidential/Air_Permitting/Stand_ACDP_Appl_WIP/NOxCO%20analysis_15.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D:/C:/Users/jbrowning/Documents/Schnitzer_Confidential/Air_Permitting/Stand_ACDP_Appl_WIP/1265GWGs.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D:/C:/Users/jbrowning/Documents/Intel_PSD/0_From_SP_Post_App_Submission/ApplicationLetter+FluorideAssess/1_Application/3_App_C_Emissions_Calculations_J_Browning/PM%20Rev%201.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Jamie/Project%20Work/Linde%20Gas%20NA%20LLC/09013.29,%20Gen.%20Consult%204.2004%20-%2012.2005/Clean-up%20Amendment%20-%20October%202005/Documents%20and%20Settings/HERVEYC/Local%20Settings/Temp/DOCUME~1/HOPPERTM/LOCALS~1/Temp/Old%20Calcs/Table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jbrowning/Bridgewater%20Group%20Dropbox/John%20Browning/Arcimoto/Chem_Bath_Calculations/MACRO1"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jbrowning/Bridgewater%20Group%20Dropbox/John%20Browning/Arcimoto/Chem_Bath_Calculations/Monthly%20Data%20Collection%20Tool_draft.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fbian/Desktop/Tervita%20PBR/Tervita%20PBR/Tervita%20MSS%20Calcs.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jbrowning/Bridgewater%20Group%20Dropbox/John%20Browning/Arcimoto/Chem_Bath_Calculations/Valero%20Corpus%20Terminalv1.07.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Jamie/Project%20Work/Linde%20Gas%20NA%20LLC/09013.29,%20Gen.%20Consult%204.2004%20-%2012.2005/Clean-up%20Amendment%20-%20October%202005/Documents%20and%20Settings/BARRONJ/Local%20Settings/Temp/2002%20EI%20-%20LaPorte%20Methanol/Final%202002%20EI/Fixed%20Roof%20Calcs..xls?D813623E" TargetMode="External"/><Relationship Id="rId1" Type="http://schemas.openxmlformats.org/officeDocument/2006/relationships/externalLinkPath" Target="file:///D813623E/Fixed%20Roof%20Calc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jbrowning/Bridgewater%20Group%20Dropbox/John%20Browning/Arcimoto/Chem_Bath_Calculations/EIQRNG97.XLW"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home.cheniere.com/P/11/111901.0053%20-%20Placid%20ICR%20Component%202/Deliverables/Refinery_Wastewater_Emissions_Tool%20v1.2.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D:/C:/Users/jbrowning/Documents/Schnitzer_Confidential/Air_Permitting/Stand_ACDP_Appl_WIP/VOC%20Calculation%20Tool28%20June%20200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jbrowning/Bridgewater%20Group%20Dropbox/John%20Browning/Genentech_Confidential/CAO_Level_3/Confidential_Genentech_Emission_Calc_REV_WIP_10_2_20.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jbrowning/Bridgewater%20Group%20Dropbox/John%20Browning/Arcimoto/Chem_Bath_Calculations/Swinging%20Bridge%202004%20EIQ.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Jamie/Project%20Work/Linde%20Gas%20NA%20LLC/09013.29,%20Gen.%20Consult%204.2004%20-%2012.2005/Clean-up%20Amendment%20-%20October%202005/DATA/AIRGROUP/PROJECTS/BP/Choc_B/olefins%20permit/flex/sources.xls" TargetMode="External"/></Relationships>
</file>

<file path=xl/externalLinks/_rels/externalLink27.xml.rels><?xml version="1.0" encoding="UTF-8" standalone="yes"?>
<Relationships xmlns="http://schemas.openxmlformats.org/package/2006/relationships"><Relationship Id="rId2" Type="http://schemas.microsoft.com/office/2019/04/relationships/externalLinkLongPath" Target="/Jamie/Project%20Work/Linde%20Gas%20NA%20LLC/09013.29,%20Gen.%20Consult%204.2004%20-%2012.2005/Clean-up%20Amendment%20-%20October%202005/Documents%20and%20Settings/HERVEYC/Local%20Settings/Temp/Praxair/00-71497.02/HU4%20Permit%20Application/HU4%20Permit%20Calculations.xls?277237DC" TargetMode="External"/><Relationship Id="rId1" Type="http://schemas.openxmlformats.org/officeDocument/2006/relationships/externalLinkPath" Target="file:///277237DC/HU4%20Permit%20Calculation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Jamie/Project%20Work/Linde%20Gas%20NA%20LLC/09013.29,%20Gen.%20Consult%204.2004%20-%2012.2005/Clean-up%20Amendment%20-%20October%202005/Documents%20and%20Settings/HERVEYC/Local%20Settings/Temp/00-71497.08,%20Flexible%20Permit%20Application/714970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Jamie/Project%20Work/Linde%20Gas%20NA%20LLC/09013.29,%20Gen.%20Consult%204.2004%20-%2012.2005/Clean-up%20Amendment%20-%20October%202005/Documents%20and%20Settings/HERVEYC/Local%20Settings/Temp/DATA/PROJECTS/UNIONCBD/EPR/CALCS/T_FLARE.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Jamie/Project%20Work/Linde%20Gas%20NA%20LLC/09013.29,%20Gen.%20Consult%204.2004%20-%2012.2005/Clean-up%20Amendment%20-%20October%202005/Documents%20and%20Settings/HERVEYC/Local%20Settings/Temp/DATA/AIRGROUP/PROJECTS/HUNTSMAN/DOCUMENT/ALLCALC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jbrowning/Bridgewater%20Group%20Dropbox/John%20Browning/Arcimoto/Chem_Bath_Calculations/2002%20EI%20v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Vasquez-Beggs Equation (VBE)"/>
      <sheetName val="x-MACRO1"/>
      <sheetName val="Vasquez-Beggs Equation (VBE)"/>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1(a)"/>
      <sheetName val="Table 3-1"/>
      <sheetName val="Vents"/>
      <sheetName val="speciation"/>
      <sheetName val="Desulfurizers"/>
    </sheetNames>
    <sheetDataSet>
      <sheetData sheetId="0"/>
      <sheetData sheetId="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IL4FO"/>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eciation (Kellogg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nk"/>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op-Down Box Data"/>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int_Booth_VOC"/>
      <sheetName val="Paint_Booth_Taps"/>
      <sheetName val="fractional test"/>
      <sheetName val="Modeling"/>
      <sheetName val="Non_Electo_Tanks"/>
      <sheetName val="Electrolytic Tank Emissions"/>
      <sheetName val="Summary_TAPS"/>
      <sheetName val="Summary_Criteria"/>
      <sheetName val="VOC_Content"/>
      <sheetName val="PFD-1"/>
      <sheetName val="PFD-2"/>
      <sheetName val="PFD-3"/>
      <sheetName val="PFD-4"/>
      <sheetName val="NG_Crit_HAP"/>
      <sheetName val="NG_GHG"/>
      <sheetName val="Marysville Facility"/>
      <sheetName val="Arlington Facility"/>
    </sheetNames>
    <sheetDataSet>
      <sheetData sheetId="0"/>
      <sheetData sheetId="1"/>
      <sheetData sheetId="2"/>
      <sheetData sheetId="3"/>
      <sheetData sheetId="4">
        <row r="14">
          <cell r="E14" t="str">
            <v>Negligible - See Note 1</v>
          </cell>
          <cell r="Q14">
            <v>0</v>
          </cell>
        </row>
        <row r="15">
          <cell r="E15" t="str">
            <v>Sodium Hydroxide</v>
          </cell>
          <cell r="Q15">
            <v>5.2174339384114948E-6</v>
          </cell>
        </row>
        <row r="16">
          <cell r="E16" t="str">
            <v>Nitric Acid</v>
          </cell>
          <cell r="Q16">
            <v>2.1628187374934005E-3</v>
          </cell>
        </row>
        <row r="17">
          <cell r="E17" t="str">
            <v>Ferric Sulfate</v>
          </cell>
          <cell r="Q17">
            <v>7.207719187972193E-3</v>
          </cell>
        </row>
        <row r="18">
          <cell r="E18" t="str">
            <v>Fluoride</v>
          </cell>
          <cell r="Q18">
            <v>7.2077191879721934E-4</v>
          </cell>
        </row>
        <row r="19">
          <cell r="E19" t="str">
            <v>Chromium (VI)</v>
          </cell>
          <cell r="Q19">
            <v>1.6598376357507509E-8</v>
          </cell>
        </row>
        <row r="20">
          <cell r="E20" t="str">
            <v>Negligible - See Note 1</v>
          </cell>
          <cell r="Q20">
            <v>0</v>
          </cell>
        </row>
        <row r="21">
          <cell r="E21" t="str">
            <v>Nitric Acid</v>
          </cell>
          <cell r="Q21">
            <v>4.1891449080412508E-5</v>
          </cell>
        </row>
        <row r="22">
          <cell r="E22" t="str">
            <v>Chromium (VI)</v>
          </cell>
          <cell r="Q22">
            <v>2.0229271185712281E-6</v>
          </cell>
        </row>
        <row r="23">
          <cell r="E23" t="str">
            <v>Negligible - See Note 1</v>
          </cell>
          <cell r="Q23">
            <v>0</v>
          </cell>
        </row>
        <row r="24">
          <cell r="E24" t="str">
            <v>Negligible - See Note 1</v>
          </cell>
          <cell r="Q24">
            <v>0</v>
          </cell>
        </row>
        <row r="25">
          <cell r="E25" t="str">
            <v>Sodium Hydroxide</v>
          </cell>
          <cell r="Q25">
            <v>6.929078359831618E-6</v>
          </cell>
        </row>
        <row r="26">
          <cell r="E26" t="str">
            <v>Nitric Acid</v>
          </cell>
          <cell r="Q26">
            <v>2.8723584595623298E-3</v>
          </cell>
        </row>
        <row r="27">
          <cell r="E27" t="str">
            <v>Ferric Sulfate</v>
          </cell>
          <cell r="Q27">
            <v>9.5723015640763222E-3</v>
          </cell>
        </row>
        <row r="28">
          <cell r="E28" t="str">
            <v>Fluoride</v>
          </cell>
          <cell r="Q28">
            <v>9.5723015640763228E-4</v>
          </cell>
        </row>
        <row r="29">
          <cell r="E29" t="str">
            <v>Negligible - See Notes 1,2</v>
          </cell>
          <cell r="Q29">
            <v>0</v>
          </cell>
        </row>
        <row r="30">
          <cell r="E30" t="str">
            <v>Negligible - See Note 1</v>
          </cell>
          <cell r="Q30">
            <v>0</v>
          </cell>
        </row>
        <row r="31">
          <cell r="E31" t="str">
            <v>Chromium (VI)</v>
          </cell>
          <cell r="Q31">
            <v>1.1588804081143398E-6</v>
          </cell>
        </row>
        <row r="32">
          <cell r="E32" t="str">
            <v>Barium Nitrate</v>
          </cell>
          <cell r="Q32">
            <v>9.2859007060443876E-7</v>
          </cell>
        </row>
        <row r="33">
          <cell r="E33" t="str">
            <v>Sodium Fluorosilicate</v>
          </cell>
          <cell r="Q33">
            <v>6.3144124801101844E-7</v>
          </cell>
        </row>
        <row r="34">
          <cell r="E34" t="str">
            <v>Ferricyanide</v>
          </cell>
          <cell r="Q34">
            <v>3.7143602824177564E-7</v>
          </cell>
        </row>
        <row r="35">
          <cell r="E35" t="str">
            <v>Trisodium Trioxalatoferrate</v>
          </cell>
          <cell r="Q35">
            <v>1.6699758485827496E-3</v>
          </cell>
        </row>
        <row r="36">
          <cell r="E36" t="str">
            <v>Sodium Oxalate</v>
          </cell>
          <cell r="Q36">
            <v>1.6699758485827496E-3</v>
          </cell>
        </row>
        <row r="37">
          <cell r="E37" t="str">
            <v>Chromium (III)</v>
          </cell>
          <cell r="Q37">
            <v>2.838958942590675E-4</v>
          </cell>
        </row>
        <row r="38">
          <cell r="E38" t="str">
            <v>Acetic Acid</v>
          </cell>
          <cell r="Q38">
            <v>3.6739468668820494E-4</v>
          </cell>
        </row>
        <row r="39">
          <cell r="E39" t="str">
            <v>Sulfamic Acid</v>
          </cell>
          <cell r="Q39">
            <v>1.3359806788661999E-5</v>
          </cell>
        </row>
        <row r="40">
          <cell r="E40" t="str">
            <v>Hexylene Glycol</v>
          </cell>
          <cell r="Q40">
            <v>6.6799033943309997E-6</v>
          </cell>
        </row>
        <row r="41">
          <cell r="E41" t="str">
            <v>Ammonium Acetate</v>
          </cell>
          <cell r="Q41">
            <v>1.3359806788661998E-4</v>
          </cell>
        </row>
        <row r="42">
          <cell r="E42" t="str">
            <v>Chromium (III)</v>
          </cell>
          <cell r="Q42">
            <v>1.4695787467528199E-4</v>
          </cell>
        </row>
        <row r="43">
          <cell r="E43" t="str">
            <v>Acetic Acid</v>
          </cell>
          <cell r="Q43">
            <v>1.6699758485827496E-3</v>
          </cell>
        </row>
        <row r="44">
          <cell r="E44" t="str">
            <v>Chromium (III)</v>
          </cell>
          <cell r="Q44">
            <v>2.6719613577323999E-5</v>
          </cell>
        </row>
        <row r="45">
          <cell r="E45" t="str">
            <v>Diethylene glycol monoethyl ether</v>
          </cell>
          <cell r="Q45">
            <v>7.3478937337640994E-5</v>
          </cell>
        </row>
        <row r="46">
          <cell r="E46" t="str">
            <v>Hexylene Glycol</v>
          </cell>
          <cell r="Q46">
            <v>8.0158840731971993E-6</v>
          </cell>
        </row>
        <row r="47">
          <cell r="E47" t="str">
            <v>Acetic Acid</v>
          </cell>
          <cell r="Q47">
            <v>4.0079420365985992E-4</v>
          </cell>
        </row>
        <row r="48">
          <cell r="E48" t="str">
            <v>Sodium Hydroxide</v>
          </cell>
          <cell r="Q48">
            <v>5.2174339384114901E-4</v>
          </cell>
        </row>
        <row r="49">
          <cell r="E49" t="str">
            <v>Negligible - See Notes 1,2</v>
          </cell>
          <cell r="Q49">
            <v>0</v>
          </cell>
        </row>
        <row r="50">
          <cell r="E50" t="str">
            <v>Negligible - See Notes 1,2</v>
          </cell>
          <cell r="Q50">
            <v>0</v>
          </cell>
        </row>
        <row r="51">
          <cell r="E51" t="str">
            <v>Negligible - See Note 1</v>
          </cell>
          <cell r="Q51">
            <v>0</v>
          </cell>
        </row>
      </sheetData>
      <sheetData sheetId="5">
        <row r="7">
          <cell r="E7" t="str">
            <v>Boric Acid</v>
          </cell>
          <cell r="O7">
            <v>3.8377192982456184E-6</v>
          </cell>
        </row>
        <row r="8">
          <cell r="E8" t="str">
            <v>Sulfuric Acid</v>
          </cell>
          <cell r="O8">
            <v>2.8168981320540485E-5</v>
          </cell>
        </row>
        <row r="9">
          <cell r="E9" t="str">
            <v>Sulfuric Acid</v>
          </cell>
          <cell r="O9">
            <v>7.0970633201841959E-5</v>
          </cell>
        </row>
        <row r="10">
          <cell r="E10" t="str">
            <v>Sulfuric Acid</v>
          </cell>
          <cell r="O10">
            <v>7.0970633201841959E-5</v>
          </cell>
        </row>
        <row r="11">
          <cell r="E11" t="str">
            <v>Sodium Hydroxide</v>
          </cell>
          <cell r="O11">
            <v>3.4492630188416873E-5</v>
          </cell>
        </row>
        <row r="12">
          <cell r="E12" t="str">
            <v>Stannous Tin Sulfate</v>
          </cell>
          <cell r="O12">
            <v>9.1311252268602553E-5</v>
          </cell>
        </row>
        <row r="13">
          <cell r="E13" t="str">
            <v>Sulfuric Acid</v>
          </cell>
          <cell r="O13">
            <v>3.9700544464609807E-4</v>
          </cell>
        </row>
        <row r="14">
          <cell r="E14" t="str">
            <v>Tin Metal</v>
          </cell>
          <cell r="O14">
            <v>4.6317301875378099E-5</v>
          </cell>
        </row>
      </sheetData>
      <sheetData sheetId="6"/>
      <sheetData sheetId="7">
        <row r="11">
          <cell r="C11" t="str">
            <v>Pollutant Class</v>
          </cell>
          <cell r="E11" t="str">
            <v>Chemical Emission Rate           (lb/yr)</v>
          </cell>
        </row>
        <row r="12">
          <cell r="C12" t="str">
            <v>PM-2.5</v>
          </cell>
          <cell r="E12">
            <v>2.3644713511236852</v>
          </cell>
        </row>
        <row r="13">
          <cell r="C13" t="str">
            <v>PM-2.5</v>
          </cell>
          <cell r="E13">
            <v>21.120605567926358</v>
          </cell>
        </row>
        <row r="14">
          <cell r="C14" t="str">
            <v>PM-2.5</v>
          </cell>
          <cell r="E14">
            <v>69.804886328521818</v>
          </cell>
        </row>
        <row r="15">
          <cell r="C15" t="str">
            <v>PM-2.5</v>
          </cell>
          <cell r="E15">
            <v>6.9804886328521825</v>
          </cell>
        </row>
        <row r="16">
          <cell r="C16" t="str">
            <v>PM-2.5</v>
          </cell>
          <cell r="E16">
            <v>3.5004486339659129E-2</v>
          </cell>
        </row>
        <row r="17">
          <cell r="C17" t="str">
            <v>PM-2.5</v>
          </cell>
          <cell r="E17">
            <v>2.3592012802605415</v>
          </cell>
        </row>
        <row r="18">
          <cell r="C18" t="str">
            <v>PM-2.5</v>
          </cell>
          <cell r="E18">
            <v>3.8629346937144654E-3</v>
          </cell>
        </row>
        <row r="19">
          <cell r="C19" t="str">
            <v>PM-2.5</v>
          </cell>
          <cell r="E19">
            <v>2.6267955917258366E-3</v>
          </cell>
        </row>
        <row r="20">
          <cell r="C20" t="str">
            <v>PM-2.5</v>
          </cell>
          <cell r="E20">
            <v>1.5451738774857867E-3</v>
          </cell>
        </row>
        <row r="21">
          <cell r="C21" t="str">
            <v>PM-2.5</v>
          </cell>
          <cell r="E21">
            <v>6.9470995301042384</v>
          </cell>
        </row>
        <row r="22">
          <cell r="C22" t="str">
            <v>PM-2.5</v>
          </cell>
          <cell r="E22">
            <v>6.9470995301042384</v>
          </cell>
        </row>
        <row r="23">
          <cell r="C23" t="str">
            <v>PM-2.5</v>
          </cell>
          <cell r="E23">
            <v>1.9035052712485618</v>
          </cell>
        </row>
        <row r="24">
          <cell r="C24" t="str">
            <v>VOC</v>
          </cell>
          <cell r="E24">
            <v>10.142765313952189</v>
          </cell>
        </row>
        <row r="25">
          <cell r="C25" t="str">
            <v>PM-2.5</v>
          </cell>
          <cell r="E25">
            <v>5.557679624083392E-2</v>
          </cell>
        </row>
        <row r="26">
          <cell r="C26" t="str">
            <v>VOC</v>
          </cell>
          <cell r="E26">
            <v>6.1134475864917305E-2</v>
          </cell>
        </row>
        <row r="27">
          <cell r="C27" t="str">
            <v>VOC</v>
          </cell>
          <cell r="E27">
            <v>0.55576796240833914</v>
          </cell>
        </row>
        <row r="28">
          <cell r="C28" t="str">
            <v>PM-2.5</v>
          </cell>
          <cell r="E28">
            <v>1.5964912280701772E-2</v>
          </cell>
        </row>
        <row r="29">
          <cell r="C29" t="str">
            <v>PM-2.5</v>
          </cell>
          <cell r="E29">
            <v>0.37985480943738664</v>
          </cell>
        </row>
        <row r="30">
          <cell r="C30" t="str">
            <v>PM-2.5</v>
          </cell>
          <cell r="E30">
            <v>0.19267997580157289</v>
          </cell>
        </row>
        <row r="31">
          <cell r="C31" t="str">
            <v>VOC</v>
          </cell>
          <cell r="E31">
            <v>3189.8</v>
          </cell>
        </row>
        <row r="32">
          <cell r="C32" t="str">
            <v>PM-2.5</v>
          </cell>
          <cell r="E32">
            <v>2.2827218399999995E-2</v>
          </cell>
        </row>
      </sheetData>
      <sheetData sheetId="8"/>
      <sheetData sheetId="9"/>
      <sheetData sheetId="10"/>
      <sheetData sheetId="11"/>
      <sheetData sheetId="12"/>
      <sheetData sheetId="13"/>
      <sheetData sheetId="14"/>
      <sheetData sheetId="15"/>
      <sheetData sheetId="1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GEN EF Ref2"/>
      <sheetName val="1_Boilers"/>
      <sheetName val="3_BSSW"/>
      <sheetName val="4_ EGENs Fire Pumps"/>
      <sheetName val="5_Heaters"/>
      <sheetName val="2_ RCTOs - Combustion"/>
      <sheetName val="6_TMXW"/>
      <sheetName val="7_Cooling Tow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T_EFs_Combustion"/>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yers_EI_WIP"/>
      <sheetName val="Boiler_NG"/>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 Flare"/>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G Usage vs Oxidizer Temp"/>
      <sheetName val="Emission Factors"/>
      <sheetName val="Assumptions"/>
      <sheetName val="Assumptions1"/>
      <sheetName val="Model"/>
      <sheetName val="Paret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WGs Summary"/>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
      <sheetName val="CoolingTower PTE"/>
    </sheet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lareBckup"/>
      <sheetName val="RefData"/>
    </sheetNames>
    <sheetDataSet>
      <sheetData sheetId="0" refreshError="1"/>
      <sheetData sheetId="1" refreshError="1">
        <row r="10">
          <cell r="B10" t="str">
            <v>Hydrogen</v>
          </cell>
          <cell r="C10">
            <v>1</v>
          </cell>
          <cell r="D10">
            <v>2.0158999999999998</v>
          </cell>
          <cell r="E10">
            <v>0.243448</v>
          </cell>
          <cell r="F10">
            <v>0.73666500000000001</v>
          </cell>
          <cell r="G10">
            <v>0.99990000000000001</v>
          </cell>
        </row>
        <row r="11">
          <cell r="B11" t="str">
            <v>Nitrogen</v>
          </cell>
          <cell r="C11">
            <v>2</v>
          </cell>
          <cell r="D11">
            <v>28.013500000000001</v>
          </cell>
          <cell r="E11">
            <v>6.4009999999999996E-3</v>
          </cell>
          <cell r="F11">
            <v>2.2920000000000002E-3</v>
          </cell>
          <cell r="G11">
            <v>9.7999999999999997E-5</v>
          </cell>
        </row>
        <row r="12">
          <cell r="B12" t="str">
            <v>Argon</v>
          </cell>
          <cell r="C12">
            <v>3</v>
          </cell>
          <cell r="E12">
            <v>0</v>
          </cell>
        </row>
        <row r="13">
          <cell r="B13" t="str">
            <v>Oxygen</v>
          </cell>
          <cell r="C13">
            <v>4</v>
          </cell>
          <cell r="E13">
            <v>0</v>
          </cell>
        </row>
        <row r="14">
          <cell r="B14" t="str">
            <v>Carbon Monoxide</v>
          </cell>
          <cell r="C14">
            <v>5</v>
          </cell>
          <cell r="D14">
            <v>28.010400000000001</v>
          </cell>
          <cell r="E14">
            <v>9.4878000000000004E-2</v>
          </cell>
          <cell r="F14">
            <v>3.3015999999999997E-2</v>
          </cell>
        </row>
        <row r="15">
          <cell r="B15" t="str">
            <v>Carbon Dioxide</v>
          </cell>
          <cell r="C15">
            <v>6</v>
          </cell>
          <cell r="D15">
            <v>44.009799999999998</v>
          </cell>
          <cell r="E15">
            <v>0.46890399999999999</v>
          </cell>
          <cell r="F15">
            <v>0.16317200000000001</v>
          </cell>
        </row>
        <row r="16">
          <cell r="B16" t="str">
            <v>Water/Steam</v>
          </cell>
          <cell r="C16">
            <v>7</v>
          </cell>
          <cell r="D16">
            <v>18.015000000000001</v>
          </cell>
          <cell r="E16">
            <v>8.0619999999999997E-3</v>
          </cell>
          <cell r="F16">
            <v>2.8059999999999999E-3</v>
          </cell>
        </row>
        <row r="17">
          <cell r="B17" t="str">
            <v>Methane</v>
          </cell>
          <cell r="C17">
            <v>8</v>
          </cell>
          <cell r="D17">
            <v>16.042999999999999</v>
          </cell>
          <cell r="E17">
            <v>0.17830599999999999</v>
          </cell>
          <cell r="F17">
            <v>6.2049E-2</v>
          </cell>
          <cell r="G17">
            <v>9.9999999999999995E-7</v>
          </cell>
        </row>
        <row r="18">
          <cell r="B18" t="str">
            <v>Ethane</v>
          </cell>
          <cell r="C18">
            <v>9</v>
          </cell>
          <cell r="D18">
            <v>30.07</v>
          </cell>
          <cell r="E18">
            <v>0</v>
          </cell>
        </row>
        <row r="19">
          <cell r="B19" t="str">
            <v>Propane</v>
          </cell>
          <cell r="C19">
            <v>10</v>
          </cell>
          <cell r="D19">
            <v>44.097000000000001</v>
          </cell>
          <cell r="E19">
            <v>0</v>
          </cell>
        </row>
        <row r="20">
          <cell r="B20" t="str">
            <v>i-butane</v>
          </cell>
          <cell r="C20">
            <v>11</v>
          </cell>
          <cell r="D20">
            <v>58.124000000000002</v>
          </cell>
          <cell r="E20">
            <v>0</v>
          </cell>
        </row>
        <row r="21">
          <cell r="B21" t="str">
            <v>n-Butane</v>
          </cell>
          <cell r="C21">
            <v>12</v>
          </cell>
          <cell r="D21">
            <v>58.124000000000002</v>
          </cell>
          <cell r="E21">
            <v>0</v>
          </cell>
        </row>
        <row r="22">
          <cell r="B22" t="str">
            <v>n-Pentane</v>
          </cell>
          <cell r="C22">
            <v>13</v>
          </cell>
          <cell r="D22">
            <v>72.150999999999996</v>
          </cell>
          <cell r="E22">
            <v>0</v>
          </cell>
        </row>
        <row r="23">
          <cell r="B23" t="str">
            <v>n-Hexane</v>
          </cell>
          <cell r="C23">
            <v>14</v>
          </cell>
          <cell r="D23">
            <v>86.177000000000007</v>
          </cell>
          <cell r="E23">
            <v>0</v>
          </cell>
        </row>
        <row r="24">
          <cell r="B24" t="str">
            <v>Sulfur Dioxide</v>
          </cell>
          <cell r="C24">
            <v>15</v>
          </cell>
          <cell r="E24">
            <v>0</v>
          </cell>
        </row>
        <row r="25">
          <cell r="B25" t="str">
            <v>HTS1_1*</v>
          </cell>
          <cell r="C25">
            <v>16</v>
          </cell>
          <cell r="E25">
            <v>0</v>
          </cell>
        </row>
        <row r="26">
          <cell r="B26" t="str">
            <v>Total Mole Fracton</v>
          </cell>
          <cell r="C26">
            <v>17</v>
          </cell>
          <cell r="E26">
            <v>0.99999899999999997</v>
          </cell>
          <cell r="F26">
            <v>1</v>
          </cell>
          <cell r="G26">
            <v>0.99999900000000008</v>
          </cell>
        </row>
        <row r="37">
          <cell r="B37" t="str">
            <v>Methane</v>
          </cell>
          <cell r="C37" t="str">
            <v>CH4</v>
          </cell>
          <cell r="D37">
            <v>2</v>
          </cell>
          <cell r="E37">
            <v>2</v>
          </cell>
          <cell r="F37">
            <v>1</v>
          </cell>
          <cell r="G37">
            <v>16.042999999999999</v>
          </cell>
          <cell r="H37">
            <v>21504</v>
          </cell>
          <cell r="I37">
            <v>344988.67199999996</v>
          </cell>
          <cell r="J37">
            <v>381698.39788020495</v>
          </cell>
        </row>
        <row r="38">
          <cell r="B38" t="str">
            <v>Ethane</v>
          </cell>
          <cell r="C38" t="str">
            <v>C2H6</v>
          </cell>
          <cell r="D38">
            <v>3.5</v>
          </cell>
          <cell r="E38">
            <v>3</v>
          </cell>
          <cell r="F38">
            <v>2</v>
          </cell>
          <cell r="G38">
            <v>30.07</v>
          </cell>
          <cell r="H38">
            <v>20428.900000000001</v>
          </cell>
          <cell r="I38">
            <v>614297.02300000004</v>
          </cell>
          <cell r="J38">
            <v>669361.61182030756</v>
          </cell>
        </row>
        <row r="39">
          <cell r="B39" t="str">
            <v>Propane</v>
          </cell>
          <cell r="C39" t="str">
            <v>C3H8</v>
          </cell>
          <cell r="D39">
            <v>5</v>
          </cell>
          <cell r="E39">
            <v>4</v>
          </cell>
          <cell r="F39">
            <v>3</v>
          </cell>
          <cell r="G39">
            <v>44.097000000000001</v>
          </cell>
          <cell r="H39">
            <v>19923.2</v>
          </cell>
          <cell r="I39">
            <v>878553.35040000011</v>
          </cell>
          <cell r="J39">
            <v>951972.80216041021</v>
          </cell>
        </row>
        <row r="40">
          <cell r="B40" t="str">
            <v>n-Butane</v>
          </cell>
          <cell r="C40" t="str">
            <v>C4H10</v>
          </cell>
          <cell r="D40">
            <v>6.5</v>
          </cell>
          <cell r="E40">
            <v>5</v>
          </cell>
          <cell r="F40">
            <v>4</v>
          </cell>
          <cell r="G40">
            <v>58.124000000000002</v>
          </cell>
          <cell r="H40">
            <v>19660.5</v>
          </cell>
          <cell r="I40">
            <v>1142746.902</v>
          </cell>
          <cell r="J40">
            <v>1234521.2167005125</v>
          </cell>
        </row>
        <row r="41">
          <cell r="B41" t="str">
            <v>Methanol</v>
          </cell>
          <cell r="C41" t="str">
            <v>CH3OH</v>
          </cell>
          <cell r="D41">
            <v>2.5</v>
          </cell>
          <cell r="E41">
            <v>2</v>
          </cell>
          <cell r="F41">
            <v>1</v>
          </cell>
          <cell r="G41">
            <v>32.042000000000002</v>
          </cell>
          <cell r="H41">
            <v>8563.2000000000007</v>
          </cell>
          <cell r="I41">
            <v>274382.05440000002</v>
          </cell>
          <cell r="J41">
            <v>311091.78028020507</v>
          </cell>
        </row>
        <row r="42">
          <cell r="B42" t="str">
            <v>Ethanol</v>
          </cell>
          <cell r="C42" t="str">
            <v>C2H5OH</v>
          </cell>
          <cell r="D42">
            <v>3</v>
          </cell>
          <cell r="E42">
            <v>3</v>
          </cell>
          <cell r="F42">
            <v>2</v>
          </cell>
          <cell r="G42">
            <v>46.069000000000003</v>
          </cell>
          <cell r="H42">
            <v>11531.9</v>
          </cell>
          <cell r="I42">
            <v>531263.10109999997</v>
          </cell>
          <cell r="J42">
            <v>586327.68992030749</v>
          </cell>
        </row>
        <row r="43">
          <cell r="B43" t="str">
            <v>Propanol</v>
          </cell>
          <cell r="C43" t="str">
            <v>C3H7OH</v>
          </cell>
          <cell r="D43">
            <v>4.5</v>
          </cell>
          <cell r="E43">
            <v>4</v>
          </cell>
          <cell r="F43">
            <v>3</v>
          </cell>
          <cell r="G43">
            <v>60.095999999999997</v>
          </cell>
          <cell r="H43">
            <v>13192.8</v>
          </cell>
          <cell r="I43">
            <v>792834.50879999995</v>
          </cell>
          <cell r="J43">
            <v>866253.96056041005</v>
          </cell>
        </row>
        <row r="44">
          <cell r="B44" t="str">
            <v>Butanol</v>
          </cell>
          <cell r="C44" t="str">
            <v>C4H9OH</v>
          </cell>
          <cell r="D44">
            <v>6</v>
          </cell>
          <cell r="E44">
            <v>5</v>
          </cell>
          <cell r="F44">
            <v>4</v>
          </cell>
          <cell r="G44">
            <v>74.123000000000005</v>
          </cell>
          <cell r="H44">
            <v>14247.7</v>
          </cell>
          <cell r="I44">
            <v>1056082.2671000001</v>
          </cell>
          <cell r="J44">
            <v>1147856.5818005125</v>
          </cell>
        </row>
        <row r="45">
          <cell r="B45" t="str">
            <v>1,4-Butanediol</v>
          </cell>
          <cell r="C45" t="str">
            <v>C4H10O2</v>
          </cell>
          <cell r="D45">
            <v>5.5</v>
          </cell>
          <cell r="E45">
            <v>5</v>
          </cell>
          <cell r="F45">
            <v>4</v>
          </cell>
          <cell r="G45">
            <v>90.122</v>
          </cell>
          <cell r="H45">
            <v>10878.6</v>
          </cell>
          <cell r="I45">
            <v>980401.18920000002</v>
          </cell>
          <cell r="J45">
            <v>1072175.5039005126</v>
          </cell>
        </row>
        <row r="46">
          <cell r="B46" t="str">
            <v>Tetrahydrofuran</v>
          </cell>
          <cell r="C46" t="str">
            <v>C4H8O</v>
          </cell>
          <cell r="D46">
            <v>5.5</v>
          </cell>
          <cell r="E46">
            <v>4</v>
          </cell>
          <cell r="F46">
            <v>4</v>
          </cell>
          <cell r="G46">
            <v>72.106999999999999</v>
          </cell>
          <cell r="H46">
            <v>13864.8</v>
          </cell>
          <cell r="I46">
            <v>999749.13359999994</v>
          </cell>
          <cell r="J46">
            <v>1073168.5853604099</v>
          </cell>
        </row>
        <row r="47">
          <cell r="B47" t="str">
            <v>g-Butyrolactone</v>
          </cell>
          <cell r="C47" t="str">
            <v>C4H6O2</v>
          </cell>
          <cell r="D47">
            <v>4.5</v>
          </cell>
          <cell r="E47">
            <v>3</v>
          </cell>
          <cell r="F47">
            <v>4</v>
          </cell>
          <cell r="G47">
            <v>86.09</v>
          </cell>
          <cell r="H47">
            <v>9329.7000000000007</v>
          </cell>
          <cell r="I47">
            <v>803193.87300000014</v>
          </cell>
          <cell r="J47">
            <v>858258.46182030765</v>
          </cell>
        </row>
        <row r="48">
          <cell r="B48" t="str">
            <v>Acetic acid</v>
          </cell>
          <cell r="C48" t="str">
            <v>C2H4O2</v>
          </cell>
          <cell r="D48">
            <v>2</v>
          </cell>
          <cell r="E48">
            <v>2</v>
          </cell>
          <cell r="F48">
            <v>2</v>
          </cell>
          <cell r="G48">
            <v>60.052</v>
          </cell>
          <cell r="H48">
            <v>5631.1</v>
          </cell>
          <cell r="I48">
            <v>338158.81720000005</v>
          </cell>
          <cell r="J48">
            <v>374868.5430802051</v>
          </cell>
        </row>
        <row r="49">
          <cell r="B49" t="str">
            <v>Propionic acid</v>
          </cell>
          <cell r="C49" t="str">
            <v>C3H6O2</v>
          </cell>
          <cell r="D49">
            <v>3.5</v>
          </cell>
          <cell r="E49">
            <v>3</v>
          </cell>
          <cell r="F49">
            <v>3</v>
          </cell>
          <cell r="G49">
            <v>74.078999999999994</v>
          </cell>
          <cell r="H49">
            <v>8097.4</v>
          </cell>
          <cell r="I49">
            <v>599847.29459999991</v>
          </cell>
          <cell r="J49">
            <v>654911.88342030742</v>
          </cell>
        </row>
        <row r="50">
          <cell r="B50" t="str">
            <v>Acrylic acid</v>
          </cell>
          <cell r="C50" t="str">
            <v>C3H4O2</v>
          </cell>
          <cell r="D50">
            <v>3</v>
          </cell>
          <cell r="E50">
            <v>2</v>
          </cell>
          <cell r="F50">
            <v>3</v>
          </cell>
          <cell r="G50">
            <v>72.063000000000002</v>
          </cell>
          <cell r="H50">
            <v>7638.8</v>
          </cell>
          <cell r="I50">
            <v>550474.84440000006</v>
          </cell>
          <cell r="J50">
            <v>587184.57028020511</v>
          </cell>
        </row>
        <row r="51">
          <cell r="B51" t="str">
            <v>Butyric Acid</v>
          </cell>
          <cell r="C51" t="str">
            <v>C4H8O2</v>
          </cell>
          <cell r="D51">
            <v>5</v>
          </cell>
          <cell r="E51">
            <v>4</v>
          </cell>
          <cell r="F51">
            <v>4</v>
          </cell>
          <cell r="G51">
            <v>88.105999999999995</v>
          </cell>
          <cell r="H51">
            <v>9761.5</v>
          </cell>
          <cell r="I51">
            <v>860046.71899999992</v>
          </cell>
          <cell r="J51">
            <v>933466.17076040991</v>
          </cell>
        </row>
        <row r="52">
          <cell r="B52" t="str">
            <v>Succinic acid</v>
          </cell>
          <cell r="C52" t="str">
            <v>C4H6O4</v>
          </cell>
          <cell r="D52">
            <v>3.5</v>
          </cell>
          <cell r="E52">
            <v>3</v>
          </cell>
          <cell r="F52">
            <v>4</v>
          </cell>
          <cell r="G52">
            <v>118.08799999999999</v>
          </cell>
          <cell r="H52">
            <v>4948.8999999999996</v>
          </cell>
          <cell r="I52">
            <v>584405.70319999987</v>
          </cell>
          <cell r="J52">
            <v>639470.29202030739</v>
          </cell>
        </row>
        <row r="53">
          <cell r="B53" t="str">
            <v>1,3-Propanediol</v>
          </cell>
          <cell r="C53" t="str">
            <v>C3H8O2</v>
          </cell>
          <cell r="D53">
            <v>4</v>
          </cell>
          <cell r="E53">
            <v>4</v>
          </cell>
          <cell r="F53">
            <v>3</v>
          </cell>
          <cell r="G53">
            <v>76.094999999999999</v>
          </cell>
          <cell r="H53">
            <v>9510.9</v>
          </cell>
          <cell r="I53">
            <v>723731.93549999991</v>
          </cell>
          <cell r="J53">
            <v>797151.38726041</v>
          </cell>
        </row>
        <row r="54">
          <cell r="B54" t="str">
            <v>1,2-Propanediol</v>
          </cell>
          <cell r="C54" t="str">
            <v>C3H8O2</v>
          </cell>
          <cell r="D54">
            <v>4</v>
          </cell>
          <cell r="E54">
            <v>4</v>
          </cell>
          <cell r="F54">
            <v>3</v>
          </cell>
          <cell r="G54">
            <v>76.094999999999999</v>
          </cell>
          <cell r="H54">
            <v>9310.2999999999993</v>
          </cell>
          <cell r="I54">
            <v>708467.2784999999</v>
          </cell>
          <cell r="J54">
            <v>781886.73026040988</v>
          </cell>
        </row>
        <row r="55">
          <cell r="B55" t="str">
            <v>1,2,4-Butanetriol</v>
          </cell>
          <cell r="C55" t="str">
            <v>C4H10O3</v>
          </cell>
          <cell r="D55">
            <v>5</v>
          </cell>
          <cell r="E55">
            <v>5</v>
          </cell>
          <cell r="F55">
            <v>4</v>
          </cell>
          <cell r="G55">
            <v>106.12</v>
          </cell>
          <cell r="H55">
            <v>9410</v>
          </cell>
          <cell r="I55">
            <v>998589.2</v>
          </cell>
          <cell r="J55">
            <v>1090363.5147005126</v>
          </cell>
        </row>
        <row r="56">
          <cell r="B56" t="str">
            <v>1,2-Butanediol</v>
          </cell>
          <cell r="C56" t="str">
            <v>C4H10O2</v>
          </cell>
          <cell r="D56">
            <v>5.5</v>
          </cell>
          <cell r="E56">
            <v>5</v>
          </cell>
          <cell r="F56">
            <v>4</v>
          </cell>
          <cell r="G56">
            <v>90.122</v>
          </cell>
          <cell r="H56">
            <v>10673.4</v>
          </cell>
          <cell r="I56">
            <v>961908.15480000002</v>
          </cell>
          <cell r="J56">
            <v>1053682.4695005126</v>
          </cell>
        </row>
        <row r="57">
          <cell r="B57" t="str">
            <v>4-Hydroxybutanoic Acid</v>
          </cell>
          <cell r="C57" t="str">
            <v>C4H8O3</v>
          </cell>
          <cell r="D57">
            <v>4.5</v>
          </cell>
          <cell r="E57">
            <v>4</v>
          </cell>
          <cell r="F57">
            <v>4</v>
          </cell>
          <cell r="G57">
            <v>104.11</v>
          </cell>
          <cell r="H57">
            <v>4948.8999999999996</v>
          </cell>
          <cell r="I57">
            <v>515229.97899999993</v>
          </cell>
          <cell r="J57">
            <v>588649.43076040992</v>
          </cell>
        </row>
        <row r="58">
          <cell r="B58" t="str">
            <v>C12-Diester-Diol</v>
          </cell>
          <cell r="C58" t="str">
            <v>C12H22O6</v>
          </cell>
          <cell r="D58">
            <v>14.5</v>
          </cell>
          <cell r="E58">
            <v>11</v>
          </cell>
          <cell r="F58">
            <v>12</v>
          </cell>
          <cell r="G58" t="e">
            <v>#N/A</v>
          </cell>
          <cell r="I58" t="e">
            <v>#N/A</v>
          </cell>
          <cell r="J58" t="e">
            <v>#N/A</v>
          </cell>
        </row>
        <row r="59">
          <cell r="B59" t="str">
            <v>Carbon Monoxide</v>
          </cell>
          <cell r="D59">
            <v>0.5</v>
          </cell>
          <cell r="E59">
            <v>0</v>
          </cell>
          <cell r="F59">
            <v>1</v>
          </cell>
          <cell r="G59">
            <v>28.010400000000001</v>
          </cell>
          <cell r="H59">
            <v>4344.7</v>
          </cell>
          <cell r="I59">
            <v>121696.78487999999</v>
          </cell>
          <cell r="J59">
            <v>121696.78487999999</v>
          </cell>
        </row>
        <row r="60">
          <cell r="B60" t="str">
            <v>n-Butane</v>
          </cell>
          <cell r="D60">
            <v>6.5</v>
          </cell>
          <cell r="E60">
            <v>5</v>
          </cell>
          <cell r="F60">
            <v>4</v>
          </cell>
          <cell r="G60">
            <v>58.124000000000002</v>
          </cell>
          <cell r="H60">
            <v>19660.5</v>
          </cell>
          <cell r="I60">
            <v>1142746.902</v>
          </cell>
          <cell r="J60">
            <v>1234521.2167005125</v>
          </cell>
        </row>
        <row r="61">
          <cell r="B61" t="str">
            <v>Carbon Dioxide</v>
          </cell>
          <cell r="D61">
            <v>0</v>
          </cell>
          <cell r="E61">
            <v>0</v>
          </cell>
          <cell r="F61">
            <v>1</v>
          </cell>
          <cell r="G61">
            <v>44.009799999999998</v>
          </cell>
          <cell r="H61">
            <v>0</v>
          </cell>
          <cell r="I61">
            <v>0</v>
          </cell>
          <cell r="J61">
            <v>0</v>
          </cell>
        </row>
        <row r="62">
          <cell r="B62" t="str">
            <v>Hydrogen</v>
          </cell>
          <cell r="D62">
            <v>0.5</v>
          </cell>
          <cell r="E62">
            <v>1</v>
          </cell>
          <cell r="F62">
            <v>0</v>
          </cell>
          <cell r="G62">
            <v>2.0158999999999998</v>
          </cell>
          <cell r="H62">
            <v>60957.7</v>
          </cell>
          <cell r="I62">
            <v>122884.62742999998</v>
          </cell>
          <cell r="J62">
            <v>122884.62742999998</v>
          </cell>
        </row>
        <row r="63">
          <cell r="B63" t="str">
            <v>Nitrogen</v>
          </cell>
          <cell r="D63">
            <v>0</v>
          </cell>
          <cell r="E63">
            <v>0</v>
          </cell>
          <cell r="F63">
            <v>0</v>
          </cell>
          <cell r="G63">
            <v>28.013500000000001</v>
          </cell>
          <cell r="H63">
            <v>0</v>
          </cell>
          <cell r="I63">
            <v>0</v>
          </cell>
          <cell r="J63">
            <v>0</v>
          </cell>
        </row>
        <row r="64">
          <cell r="B64" t="str">
            <v>Oxygen</v>
          </cell>
          <cell r="D64">
            <v>1</v>
          </cell>
          <cell r="E64">
            <v>0</v>
          </cell>
          <cell r="F64">
            <v>0</v>
          </cell>
          <cell r="G64">
            <v>31.998799999999999</v>
          </cell>
          <cell r="H64">
            <v>0</v>
          </cell>
          <cell r="I64">
            <v>0</v>
          </cell>
          <cell r="J64">
            <v>0</v>
          </cell>
        </row>
        <row r="65">
          <cell r="B65" t="str">
            <v>Water</v>
          </cell>
          <cell r="D65">
            <v>0</v>
          </cell>
          <cell r="E65">
            <v>1</v>
          </cell>
          <cell r="F65">
            <v>0</v>
          </cell>
          <cell r="G65">
            <v>18.015000000000001</v>
          </cell>
          <cell r="H65">
            <v>0</v>
          </cell>
          <cell r="I65">
            <v>0</v>
          </cell>
          <cell r="J65">
            <v>0</v>
          </cell>
        </row>
        <row r="66">
          <cell r="B66" t="str">
            <v>i-Butane</v>
          </cell>
          <cell r="C66" t="str">
            <v>C4H10</v>
          </cell>
          <cell r="D66">
            <v>6.5</v>
          </cell>
          <cell r="E66">
            <v>5</v>
          </cell>
          <cell r="F66">
            <v>4</v>
          </cell>
          <cell r="G66">
            <v>58.124000000000002</v>
          </cell>
          <cell r="H66">
            <v>19597.599999999999</v>
          </cell>
          <cell r="I66">
            <v>1139090.9024</v>
          </cell>
          <cell r="J66">
            <v>1230865.2171005125</v>
          </cell>
        </row>
        <row r="67">
          <cell r="B67" t="str">
            <v>n-Pentane</v>
          </cell>
          <cell r="C67" t="str">
            <v>C5H12</v>
          </cell>
          <cell r="D67">
            <v>8</v>
          </cell>
          <cell r="E67">
            <v>6</v>
          </cell>
          <cell r="F67">
            <v>5</v>
          </cell>
          <cell r="G67">
            <v>72.150999999999996</v>
          </cell>
          <cell r="H67">
            <v>19339.599999999999</v>
          </cell>
          <cell r="I67">
            <v>1395371.4795999997</v>
          </cell>
          <cell r="J67">
            <v>1505500.6572406148</v>
          </cell>
        </row>
        <row r="68">
          <cell r="B68" t="str">
            <v>Maleic Acid</v>
          </cell>
          <cell r="C68" t="str">
            <v>C4H4O4</v>
          </cell>
          <cell r="D68">
            <v>3</v>
          </cell>
          <cell r="E68">
            <v>2</v>
          </cell>
          <cell r="F68">
            <v>4</v>
          </cell>
          <cell r="G68">
            <v>116.072</v>
          </cell>
          <cell r="H68">
            <v>4698.8999999999996</v>
          </cell>
          <cell r="I68">
            <v>545410.72080000001</v>
          </cell>
          <cell r="J68">
            <v>582120.44668020506</v>
          </cell>
        </row>
        <row r="69">
          <cell r="B69" t="str">
            <v>Malic Acid</v>
          </cell>
          <cell r="C69" t="str">
            <v>C4H6O5</v>
          </cell>
          <cell r="D69">
            <v>3</v>
          </cell>
          <cell r="E69">
            <v>3</v>
          </cell>
          <cell r="F69">
            <v>4</v>
          </cell>
          <cell r="G69">
            <v>134.089</v>
          </cell>
          <cell r="H69">
            <v>3816.1</v>
          </cell>
          <cell r="I69">
            <v>511697.03289999999</v>
          </cell>
          <cell r="J69">
            <v>566761.62172030751</v>
          </cell>
        </row>
        <row r="70">
          <cell r="B70" t="str">
            <v>Maleic Anhydride</v>
          </cell>
          <cell r="C70" t="str">
            <v>C4H2O3</v>
          </cell>
          <cell r="D70">
            <v>3</v>
          </cell>
          <cell r="E70">
            <v>1</v>
          </cell>
          <cell r="F70">
            <v>4</v>
          </cell>
          <cell r="G70">
            <v>98.058000000000007</v>
          </cell>
          <cell r="H70">
            <v>6093.2</v>
          </cell>
          <cell r="I70">
            <v>597487.00560000003</v>
          </cell>
          <cell r="J70">
            <v>615841.8685401025</v>
          </cell>
        </row>
        <row r="71">
          <cell r="B71" t="str">
            <v>Hydroxypropionic Acid</v>
          </cell>
          <cell r="C71" t="str">
            <v>C3H6O3</v>
          </cell>
          <cell r="D71">
            <v>3</v>
          </cell>
          <cell r="E71">
            <v>3</v>
          </cell>
          <cell r="F71">
            <v>3</v>
          </cell>
          <cell r="G71">
            <v>90.078000000000003</v>
          </cell>
          <cell r="H71">
            <v>5895.4</v>
          </cell>
          <cell r="I71">
            <v>531045.84120000002</v>
          </cell>
          <cell r="J71">
            <v>586110.43002030754</v>
          </cell>
        </row>
      </sheetData>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1"/>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Fs"/>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il MSS Tank Non Forced Vent"/>
      <sheetName val="Water MSS Tank Non Forced Vent"/>
      <sheetName val="MSS Paint Blast"/>
      <sheetName val="MSS Defaults"/>
      <sheetName val="Facility Information"/>
      <sheetName val="MSS Tank Forced Vent Degas"/>
      <sheetName val="MSS Blowdowns"/>
      <sheetName val="MSS Other"/>
      <sheetName val="Site Wide Gas &amp; Liquid Analyses"/>
      <sheetName val="IC Engines"/>
      <sheetName val="Turbines"/>
      <sheetName val="Diesel Engines"/>
      <sheetName val="Heaters-Boilers"/>
      <sheetName val="Fugitives"/>
      <sheetName val="Direct Measurement"/>
      <sheetName val="Tanks 4.0"/>
      <sheetName val="Process Simulator"/>
      <sheetName val="E&amp;P Tanks L l HP OIL"/>
      <sheetName val="E&amp;P Tanks LP Gas"/>
      <sheetName val="E&amp;P Tanks Stable Oil"/>
      <sheetName val="E&amp;P Tanks Geo"/>
      <sheetName val="GOR"/>
      <sheetName val="GWR"/>
      <sheetName val="Vasquez-Beggs"/>
      <sheetName val="Loading Jobs"/>
      <sheetName val="Glycol Units"/>
      <sheetName val="Amine Units"/>
      <sheetName val="Vapor Recovery Units"/>
      <sheetName val="Flares-Vapor Combustors"/>
      <sheetName val="Thermal Oxidizers"/>
      <sheetName val="Emissions Summary-New Requ"/>
      <sheetName val="Other"/>
      <sheetName val="Emissions Summary-Old Requ"/>
      <sheetName val="Major Source check-Old Requ"/>
      <sheetName val="Major Source check-New Requ"/>
      <sheetName val="Level of Authorization-New Requ"/>
      <sheetName val="Level of Authorization-Old Requ"/>
      <sheetName val="MSS FLR Tank Landing Loss"/>
      <sheetName val="Is Full Impacts Review Required"/>
      <sheetName val="Impacts Scope"/>
      <sheetName val="Benzene Full Impacts"/>
      <sheetName val="H2S Full Impacts"/>
      <sheetName val="SO2 Full Impacts"/>
      <sheetName val="NO2 Full Impacts"/>
      <sheetName val="Fugitives and Vents"/>
      <sheetName val="Blowdowns, Purging, and Pigging"/>
      <sheetName val="Flares and Thermal Dest. Dev."/>
      <sheetName val="Engines ≤ 250 HP"/>
      <sheetName val="Eng. 250 &lt; HP ≤ 500"/>
      <sheetName val="Eng. 500 &lt; hp ≤ 1000"/>
      <sheetName val="Eng. 1000 &lt; hp ≤ 1500"/>
      <sheetName val="Eng. 1500 &lt; hp ≤ 2000"/>
      <sheetName val="Eng. &gt; 2000 hp"/>
    </sheetNames>
    <sheetDataSet>
      <sheetData sheetId="0"/>
      <sheetData sheetId="1"/>
      <sheetData sheetId="2"/>
      <sheetData sheetId="3"/>
      <sheetData sheetId="4">
        <row r="27">
          <cell r="C27" t="str">
            <v>Tervita, L.L.C.</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2">
          <cell r="P12" t="str">
            <v>pick from list</v>
          </cell>
        </row>
        <row r="13">
          <cell r="P13" t="str">
            <v>below 100 MMBtu/hr, uncontrolled</v>
          </cell>
        </row>
        <row r="14">
          <cell r="P14" t="str">
            <v>below 100 MMBtu/hp-hr, controlled - low NOx burner</v>
          </cell>
        </row>
        <row r="15">
          <cell r="P15" t="str">
            <v>below 100 MMBtu/hr, controlled - low NOx burner, flue gas recirculation</v>
          </cell>
        </row>
        <row r="16">
          <cell r="P16" t="str">
            <v>above 100 MMBtu/hr, uncontrolled, pre-NSPS</v>
          </cell>
        </row>
        <row r="17">
          <cell r="P17" t="str">
            <v>above 100 MMBtu/hr, uncontrolled, post-NSPS</v>
          </cell>
        </row>
        <row r="18">
          <cell r="P18" t="str">
            <v>above 100 MMBtu/hr, controlled - low NOx burner</v>
          </cell>
        </row>
        <row r="19">
          <cell r="P19" t="str">
            <v>above 100 MMBtu/hr, controlled - flue gas recirculation</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ndard Values"/>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C"/>
      <sheetName val="D"/>
      <sheetName val="E"/>
      <sheetName val="F"/>
      <sheetName val="G"/>
    </sheetNames>
    <sheetDataSet>
      <sheetData sheetId="0">
        <row r="22">
          <cell r="A22" t="str">
            <v>SG110-1-1</v>
          </cell>
          <cell r="B22" t="str">
            <v>SG23-50-1</v>
          </cell>
          <cell r="E22">
            <v>737000</v>
          </cell>
          <cell r="F22" t="str">
            <v>Crude Methanol</v>
          </cell>
          <cell r="G22">
            <v>6.6779999999999999</v>
          </cell>
          <cell r="H22">
            <v>20833</v>
          </cell>
          <cell r="J22">
            <v>0</v>
          </cell>
          <cell r="K22" t="str">
            <v>v</v>
          </cell>
          <cell r="L22" t="str">
            <v>a</v>
          </cell>
          <cell r="M22" t="str">
            <v>c</v>
          </cell>
          <cell r="N22" t="str">
            <v>w</v>
          </cell>
          <cell r="O22" t="str">
            <v>w</v>
          </cell>
          <cell r="P22">
            <v>56</v>
          </cell>
          <cell r="Q22">
            <v>20</v>
          </cell>
          <cell r="R22">
            <v>10</v>
          </cell>
          <cell r="S22">
            <v>6.25E-2</v>
          </cell>
          <cell r="U22">
            <v>79.099999999999994</v>
          </cell>
          <cell r="V22">
            <v>57.4</v>
          </cell>
          <cell r="W22">
            <v>1351</v>
          </cell>
          <cell r="X22">
            <v>0.03</v>
          </cell>
          <cell r="Y22">
            <v>-0.03</v>
          </cell>
          <cell r="Z22">
            <v>187208875</v>
          </cell>
          <cell r="AB22">
            <v>19</v>
          </cell>
          <cell r="AC22" t="str">
            <v>OL</v>
          </cell>
          <cell r="AD22">
            <v>31.763999999999999</v>
          </cell>
          <cell r="AE22">
            <v>1.82698402</v>
          </cell>
          <cell r="AF22">
            <v>2.15831836</v>
          </cell>
          <cell r="AG22">
            <v>1.54490108</v>
          </cell>
          <cell r="AH22">
            <v>69.745593000000099</v>
          </cell>
          <cell r="AI22">
            <v>75.259283000000096</v>
          </cell>
          <cell r="AJ22">
            <v>64.231903000000102</v>
          </cell>
          <cell r="AK22">
            <v>4.30067997</v>
          </cell>
          <cell r="AL22">
            <v>100</v>
          </cell>
        </row>
        <row r="23">
          <cell r="A23" t="str">
            <v>SG105-24-1</v>
          </cell>
          <cell r="B23" t="str">
            <v>SG105-24-1</v>
          </cell>
          <cell r="E23">
            <v>2977</v>
          </cell>
          <cell r="F23" t="str">
            <v>Waste Stream</v>
          </cell>
          <cell r="G23">
            <v>6.835</v>
          </cell>
          <cell r="H23">
            <v>140</v>
          </cell>
          <cell r="J23">
            <v>0</v>
          </cell>
          <cell r="K23" t="str">
            <v>v</v>
          </cell>
          <cell r="L23" t="str">
            <v>a</v>
          </cell>
          <cell r="M23" t="str">
            <v>c</v>
          </cell>
          <cell r="N23" t="str">
            <v>w</v>
          </cell>
          <cell r="O23" t="str">
            <v>w</v>
          </cell>
          <cell r="P23">
            <v>8</v>
          </cell>
          <cell r="Q23">
            <v>8</v>
          </cell>
          <cell r="R23">
            <v>4</v>
          </cell>
          <cell r="S23">
            <v>6.25E-2</v>
          </cell>
          <cell r="U23">
            <v>79.099999999999994</v>
          </cell>
          <cell r="V23">
            <v>57.4</v>
          </cell>
          <cell r="W23">
            <v>1351</v>
          </cell>
          <cell r="X23">
            <v>0.03</v>
          </cell>
          <cell r="Y23">
            <v>-0.03</v>
          </cell>
          <cell r="Z23">
            <v>65160</v>
          </cell>
          <cell r="AB23">
            <v>7</v>
          </cell>
          <cell r="AC23" t="str">
            <v>OL</v>
          </cell>
          <cell r="AD23">
            <v>36.762</v>
          </cell>
          <cell r="AE23">
            <v>5.22</v>
          </cell>
          <cell r="AF23">
            <v>5.93</v>
          </cell>
          <cell r="AG23">
            <v>4.01</v>
          </cell>
          <cell r="AH23">
            <v>69.745593000000099</v>
          </cell>
          <cell r="AI23">
            <v>75.259283000000096</v>
          </cell>
          <cell r="AJ23">
            <v>64.231903000000102</v>
          </cell>
          <cell r="AK23">
            <v>5.93</v>
          </cell>
          <cell r="AL23">
            <v>110</v>
          </cell>
        </row>
        <row r="24">
          <cell r="AH24">
            <v>-0.31880000000001019</v>
          </cell>
          <cell r="AI24">
            <v>-0.31880000000001019</v>
          </cell>
          <cell r="AJ24">
            <v>-0.31880000000001019</v>
          </cell>
        </row>
        <row r="25">
          <cell r="AH25">
            <v>-0.31880000000001019</v>
          </cell>
          <cell r="AI25">
            <v>-0.31880000000001019</v>
          </cell>
          <cell r="AJ25">
            <v>-0.31880000000001019</v>
          </cell>
        </row>
        <row r="26">
          <cell r="AH26">
            <v>-0.31880000000001019</v>
          </cell>
          <cell r="AI26">
            <v>-0.31880000000001019</v>
          </cell>
          <cell r="AJ26">
            <v>-0.31880000000001019</v>
          </cell>
        </row>
        <row r="27">
          <cell r="AH27">
            <v>-0.31880000000001019</v>
          </cell>
          <cell r="AI27">
            <v>-0.31880000000001019</v>
          </cell>
          <cell r="AJ27">
            <v>-0.31880000000001019</v>
          </cell>
        </row>
        <row r="28">
          <cell r="A28" t="str">
            <v>The annual throughput for SG105-24-1 is based upon a pump rate of 145 gal/hr times 8760 hours year.</v>
          </cell>
          <cell r="AH28">
            <v>-0.31880000000001019</v>
          </cell>
          <cell r="AI28">
            <v>-0.31880000000001019</v>
          </cell>
          <cell r="AJ28">
            <v>-0.31880000000001019</v>
          </cell>
        </row>
        <row r="29">
          <cell r="AH29">
            <v>-0.31880000000001019</v>
          </cell>
          <cell r="AI29">
            <v>-0.31880000000001019</v>
          </cell>
          <cell r="AJ29">
            <v>-0.31880000000001019</v>
          </cell>
        </row>
        <row r="30">
          <cell r="AH30">
            <v>-0.31880000000001019</v>
          </cell>
          <cell r="AI30">
            <v>-0.31880000000001019</v>
          </cell>
          <cell r="AJ30">
            <v>-0.31880000000001019</v>
          </cell>
        </row>
        <row r="31">
          <cell r="AH31">
            <v>-0.31880000000001019</v>
          </cell>
          <cell r="AI31">
            <v>-0.31880000000001019</v>
          </cell>
          <cell r="AJ31">
            <v>-0.31880000000001019</v>
          </cell>
        </row>
        <row r="32">
          <cell r="AH32">
            <v>-0.31880000000001019</v>
          </cell>
          <cell r="AI32">
            <v>-0.31880000000001019</v>
          </cell>
          <cell r="AJ32">
            <v>-0.31880000000001019</v>
          </cell>
        </row>
        <row r="33">
          <cell r="AH33">
            <v>-0.31880000000001019</v>
          </cell>
          <cell r="AI33">
            <v>-0.31880000000001019</v>
          </cell>
          <cell r="AJ33">
            <v>-0.31880000000001019</v>
          </cell>
        </row>
        <row r="34">
          <cell r="AH34">
            <v>-0.31880000000001019</v>
          </cell>
          <cell r="AI34">
            <v>-0.31880000000001019</v>
          </cell>
          <cell r="AJ34">
            <v>-0.31880000000001019</v>
          </cell>
        </row>
        <row r="35">
          <cell r="AH35">
            <v>-0.31880000000001019</v>
          </cell>
          <cell r="AI35">
            <v>-0.31880000000001019</v>
          </cell>
          <cell r="AJ35">
            <v>-0.31880000000001019</v>
          </cell>
        </row>
        <row r="36">
          <cell r="AH36">
            <v>-0.31880000000001019</v>
          </cell>
          <cell r="AI36">
            <v>-0.31880000000001019</v>
          </cell>
          <cell r="AJ36">
            <v>-0.31880000000001019</v>
          </cell>
        </row>
        <row r="37">
          <cell r="AH37">
            <v>-0.31880000000001019</v>
          </cell>
          <cell r="AI37">
            <v>-0.31880000000001019</v>
          </cell>
          <cell r="AJ37">
            <v>-0.31880000000001019</v>
          </cell>
        </row>
        <row r="38">
          <cell r="AH38">
            <v>-0.31880000000001019</v>
          </cell>
          <cell r="AI38">
            <v>-0.31880000000001019</v>
          </cell>
          <cell r="AJ38">
            <v>-0.31880000000001019</v>
          </cell>
        </row>
        <row r="39">
          <cell r="AH39">
            <v>-0.31880000000001019</v>
          </cell>
          <cell r="AI39">
            <v>-0.31880000000001019</v>
          </cell>
          <cell r="AJ39">
            <v>-0.31880000000001019</v>
          </cell>
        </row>
        <row r="40">
          <cell r="AH40">
            <v>-0.31880000000001019</v>
          </cell>
          <cell r="AI40">
            <v>-0.31880000000001019</v>
          </cell>
          <cell r="AJ40">
            <v>-0.31880000000001019</v>
          </cell>
        </row>
        <row r="41">
          <cell r="AH41">
            <v>-0.31880000000001019</v>
          </cell>
          <cell r="AI41">
            <v>-0.31880000000001019</v>
          </cell>
          <cell r="AJ41">
            <v>-0.31880000000001019</v>
          </cell>
        </row>
        <row r="42">
          <cell r="AH42">
            <v>-0.31880000000001019</v>
          </cell>
          <cell r="AI42">
            <v>-0.31880000000001019</v>
          </cell>
          <cell r="AJ42">
            <v>-0.31880000000001019</v>
          </cell>
        </row>
        <row r="43">
          <cell r="AH43">
            <v>-0.31880000000001019</v>
          </cell>
          <cell r="AI43">
            <v>-0.31880000000001019</v>
          </cell>
          <cell r="AJ43">
            <v>-0.31880000000001019</v>
          </cell>
        </row>
        <row r="44">
          <cell r="AH44">
            <v>-0.31880000000001019</v>
          </cell>
          <cell r="AI44">
            <v>-0.31880000000001019</v>
          </cell>
          <cell r="AJ44">
            <v>-0.31880000000001019</v>
          </cell>
        </row>
        <row r="45">
          <cell r="AH45">
            <v>-0.31880000000001019</v>
          </cell>
          <cell r="AI45">
            <v>-0.31880000000001019</v>
          </cell>
          <cell r="AJ45">
            <v>-0.31880000000001019</v>
          </cell>
        </row>
        <row r="46">
          <cell r="AH46">
            <v>-0.31880000000001019</v>
          </cell>
          <cell r="AI46">
            <v>-0.31880000000001019</v>
          </cell>
          <cell r="AJ46">
            <v>-0.31880000000001019</v>
          </cell>
        </row>
      </sheetData>
      <sheetData sheetId="1">
        <row r="10">
          <cell r="A10" t="str">
            <v>SG110-1-1</v>
          </cell>
          <cell r="B10">
            <v>61683.465065286015</v>
          </cell>
          <cell r="C10">
            <v>4059.3283215326064</v>
          </cell>
          <cell r="D10">
            <v>57624.136743753406</v>
          </cell>
          <cell r="E10">
            <v>608904.88278796803</v>
          </cell>
          <cell r="F10">
            <v>26066.841444385711</v>
          </cell>
          <cell r="G10" t="str">
            <v>NA</v>
          </cell>
          <cell r="H10">
            <v>10.583333333333334</v>
          </cell>
          <cell r="I10">
            <v>0.58333333333333326</v>
          </cell>
          <cell r="J10">
            <v>1.75</v>
          </cell>
          <cell r="K10">
            <v>1.0208510710346496E-2</v>
          </cell>
          <cell r="L10">
            <v>0.17</v>
          </cell>
          <cell r="M10">
            <v>0.17</v>
          </cell>
          <cell r="N10">
            <v>0.17</v>
          </cell>
          <cell r="O10">
            <v>529.7455930000001</v>
          </cell>
          <cell r="P10">
            <v>527.92000000000007</v>
          </cell>
          <cell r="Q10">
            <v>527.94000000000005</v>
          </cell>
          <cell r="R10">
            <v>8.4623230165583402E-2</v>
          </cell>
          <cell r="S10">
            <v>22.054759999999998</v>
          </cell>
          <cell r="T10">
            <v>0.61341727999999995</v>
          </cell>
          <cell r="U10">
            <v>0.06</v>
          </cell>
          <cell r="V10">
            <v>21.699999999999996</v>
          </cell>
          <cell r="W10">
            <v>0.49387940523973189</v>
          </cell>
          <cell r="X10">
            <v>254.01475576662145</v>
          </cell>
          <cell r="Y10">
            <v>0.22277033257101134</v>
          </cell>
          <cell r="Z10">
            <v>46797.164167873554</v>
          </cell>
          <cell r="AA10">
            <v>1</v>
          </cell>
          <cell r="AB10">
            <v>187208875</v>
          </cell>
        </row>
        <row r="11">
          <cell r="A11" t="str">
            <v>SG105-24-1</v>
          </cell>
          <cell r="B11">
            <v>580.13745872252161</v>
          </cell>
          <cell r="C11">
            <v>282.42197723680738</v>
          </cell>
          <cell r="D11">
            <v>297.71548148571429</v>
          </cell>
          <cell r="E11">
            <v>338.20934965714287</v>
          </cell>
          <cell r="F11">
            <v>205.25072003453315</v>
          </cell>
          <cell r="G11" t="str">
            <v>NA</v>
          </cell>
          <cell r="H11">
            <v>4.083333333333333</v>
          </cell>
          <cell r="I11">
            <v>8.3333333333333329E-2</v>
          </cell>
          <cell r="J11">
            <v>0.25</v>
          </cell>
          <cell r="K11">
            <v>3.3756863405541834E-2</v>
          </cell>
          <cell r="L11">
            <v>0.17</v>
          </cell>
          <cell r="M11">
            <v>0.17</v>
          </cell>
          <cell r="N11">
            <v>0.17</v>
          </cell>
          <cell r="O11">
            <v>529.7455930000001</v>
          </cell>
          <cell r="P11">
            <v>527.92000000000007</v>
          </cell>
          <cell r="Q11">
            <v>527.94000000000005</v>
          </cell>
          <cell r="R11">
            <v>0.23783527062712825</v>
          </cell>
          <cell r="S11">
            <v>22.054759999999998</v>
          </cell>
          <cell r="T11">
            <v>1.92</v>
          </cell>
          <cell r="U11">
            <v>0.06</v>
          </cell>
          <cell r="V11">
            <v>21.699999999999996</v>
          </cell>
          <cell r="W11">
            <v>0.46955080422313994</v>
          </cell>
          <cell r="X11">
            <v>21.887806516627478</v>
          </cell>
          <cell r="Y11">
            <v>1</v>
          </cell>
          <cell r="Z11">
            <v>351.85837720205683</v>
          </cell>
          <cell r="AA11">
            <v>1</v>
          </cell>
          <cell r="AB11">
            <v>65160</v>
          </cell>
        </row>
        <row r="12">
          <cell r="A12">
            <v>0</v>
          </cell>
          <cell r="B12" t="e">
            <v>#DIV/0!</v>
          </cell>
          <cell r="C12">
            <v>0</v>
          </cell>
          <cell r="D12" t="e">
            <v>#DIV/0!</v>
          </cell>
          <cell r="E12">
            <v>0</v>
          </cell>
          <cell r="F12">
            <v>0</v>
          </cell>
          <cell r="G12">
            <v>0</v>
          </cell>
          <cell r="H12">
            <v>0</v>
          </cell>
          <cell r="I12">
            <v>0</v>
          </cell>
          <cell r="J12">
            <v>0</v>
          </cell>
          <cell r="K12">
            <v>0</v>
          </cell>
          <cell r="L12">
            <v>0.17</v>
          </cell>
          <cell r="M12">
            <v>0.17</v>
          </cell>
          <cell r="N12">
            <v>0.17</v>
          </cell>
          <cell r="O12">
            <v>459.68119999999999</v>
          </cell>
          <cell r="P12">
            <v>459.67</v>
          </cell>
          <cell r="Q12">
            <v>459.69</v>
          </cell>
          <cell r="R12">
            <v>0</v>
          </cell>
          <cell r="S12">
            <v>0</v>
          </cell>
          <cell r="T12">
            <v>0</v>
          </cell>
          <cell r="U12">
            <v>0</v>
          </cell>
          <cell r="V12">
            <v>0</v>
          </cell>
          <cell r="W12">
            <v>1</v>
          </cell>
          <cell r="X12" t="e">
            <v>#DIV/0!</v>
          </cell>
          <cell r="Y12" t="e">
            <v>#DIV/0!</v>
          </cell>
          <cell r="Z12">
            <v>0</v>
          </cell>
          <cell r="AA12">
            <v>0.75</v>
          </cell>
          <cell r="AB12">
            <v>0</v>
          </cell>
        </row>
        <row r="13">
          <cell r="A13">
            <v>0</v>
          </cell>
          <cell r="B13" t="e">
            <v>#DIV/0!</v>
          </cell>
          <cell r="C13">
            <v>0</v>
          </cell>
          <cell r="D13" t="e">
            <v>#DIV/0!</v>
          </cell>
          <cell r="E13">
            <v>0</v>
          </cell>
          <cell r="F13">
            <v>0</v>
          </cell>
          <cell r="G13">
            <v>0</v>
          </cell>
          <cell r="H13">
            <v>0</v>
          </cell>
          <cell r="I13">
            <v>0</v>
          </cell>
          <cell r="J13">
            <v>0</v>
          </cell>
          <cell r="K13">
            <v>0</v>
          </cell>
          <cell r="L13">
            <v>0.17</v>
          </cell>
          <cell r="M13">
            <v>0.17</v>
          </cell>
          <cell r="N13">
            <v>0.17</v>
          </cell>
          <cell r="O13">
            <v>459.68119999999999</v>
          </cell>
          <cell r="P13">
            <v>459.67</v>
          </cell>
          <cell r="Q13">
            <v>459.69</v>
          </cell>
          <cell r="R13">
            <v>0</v>
          </cell>
          <cell r="S13">
            <v>0</v>
          </cell>
          <cell r="T13">
            <v>0</v>
          </cell>
          <cell r="U13">
            <v>0</v>
          </cell>
          <cell r="V13">
            <v>0</v>
          </cell>
          <cell r="W13">
            <v>1</v>
          </cell>
          <cell r="X13" t="e">
            <v>#DIV/0!</v>
          </cell>
          <cell r="Y13" t="e">
            <v>#DIV/0!</v>
          </cell>
          <cell r="Z13">
            <v>0</v>
          </cell>
          <cell r="AA13">
            <v>0.75</v>
          </cell>
          <cell r="AB13">
            <v>0</v>
          </cell>
        </row>
        <row r="14">
          <cell r="A14">
            <v>0</v>
          </cell>
          <cell r="B14" t="e">
            <v>#DIV/0!</v>
          </cell>
          <cell r="C14">
            <v>0</v>
          </cell>
          <cell r="D14" t="e">
            <v>#DIV/0!</v>
          </cell>
          <cell r="E14">
            <v>0</v>
          </cell>
          <cell r="F14">
            <v>0</v>
          </cell>
          <cell r="G14">
            <v>0</v>
          </cell>
          <cell r="H14">
            <v>0</v>
          </cell>
          <cell r="I14">
            <v>0</v>
          </cell>
          <cell r="J14">
            <v>0</v>
          </cell>
          <cell r="K14">
            <v>0</v>
          </cell>
          <cell r="L14">
            <v>0.17</v>
          </cell>
          <cell r="M14">
            <v>0.17</v>
          </cell>
          <cell r="N14">
            <v>0.17</v>
          </cell>
          <cell r="O14">
            <v>459.68119999999999</v>
          </cell>
          <cell r="P14">
            <v>459.67</v>
          </cell>
          <cell r="Q14">
            <v>459.69</v>
          </cell>
          <cell r="R14">
            <v>0</v>
          </cell>
          <cell r="S14">
            <v>0</v>
          </cell>
          <cell r="T14">
            <v>0</v>
          </cell>
          <cell r="U14">
            <v>0</v>
          </cell>
          <cell r="V14">
            <v>0</v>
          </cell>
          <cell r="W14">
            <v>1</v>
          </cell>
          <cell r="X14" t="e">
            <v>#DIV/0!</v>
          </cell>
          <cell r="Y14" t="e">
            <v>#DIV/0!</v>
          </cell>
          <cell r="Z14">
            <v>0</v>
          </cell>
          <cell r="AA14">
            <v>0.75</v>
          </cell>
          <cell r="AB14">
            <v>0</v>
          </cell>
        </row>
        <row r="15">
          <cell r="A15">
            <v>0</v>
          </cell>
          <cell r="B15" t="e">
            <v>#DIV/0!</v>
          </cell>
          <cell r="C15">
            <v>0</v>
          </cell>
          <cell r="D15" t="e">
            <v>#DIV/0!</v>
          </cell>
          <cell r="E15">
            <v>0</v>
          </cell>
          <cell r="F15">
            <v>0</v>
          </cell>
          <cell r="G15">
            <v>0</v>
          </cell>
          <cell r="H15">
            <v>0</v>
          </cell>
          <cell r="I15">
            <v>0</v>
          </cell>
          <cell r="J15">
            <v>0</v>
          </cell>
          <cell r="K15">
            <v>0</v>
          </cell>
          <cell r="L15">
            <v>0.17</v>
          </cell>
          <cell r="M15">
            <v>0.17</v>
          </cell>
          <cell r="N15">
            <v>0.17</v>
          </cell>
          <cell r="O15">
            <v>459.68119999999999</v>
          </cell>
          <cell r="P15">
            <v>459.67</v>
          </cell>
          <cell r="Q15">
            <v>459.69</v>
          </cell>
          <cell r="R15">
            <v>0</v>
          </cell>
          <cell r="S15">
            <v>0</v>
          </cell>
          <cell r="T15">
            <v>0</v>
          </cell>
          <cell r="U15">
            <v>0</v>
          </cell>
          <cell r="V15">
            <v>0</v>
          </cell>
          <cell r="W15">
            <v>1</v>
          </cell>
          <cell r="X15" t="e">
            <v>#DIV/0!</v>
          </cell>
          <cell r="Y15" t="e">
            <v>#DIV/0!</v>
          </cell>
          <cell r="Z15">
            <v>0</v>
          </cell>
          <cell r="AA15">
            <v>0.75</v>
          </cell>
          <cell r="AB15">
            <v>0</v>
          </cell>
        </row>
        <row r="16">
          <cell r="A16" t="str">
            <v>The annual throughput for SG105-24-1 is based upon a pump rate of 145 gal/hr times 8760 hours year.</v>
          </cell>
          <cell r="B16" t="e">
            <v>#DIV/0!</v>
          </cell>
          <cell r="C16">
            <v>0</v>
          </cell>
          <cell r="D16" t="e">
            <v>#DIV/0!</v>
          </cell>
          <cell r="E16">
            <v>0</v>
          </cell>
          <cell r="F16">
            <v>0</v>
          </cell>
          <cell r="G16">
            <v>0</v>
          </cell>
          <cell r="H16">
            <v>0</v>
          </cell>
          <cell r="I16">
            <v>0</v>
          </cell>
          <cell r="J16">
            <v>0</v>
          </cell>
          <cell r="K16">
            <v>0</v>
          </cell>
          <cell r="L16">
            <v>0.17</v>
          </cell>
          <cell r="M16">
            <v>0.17</v>
          </cell>
          <cell r="N16">
            <v>0.17</v>
          </cell>
          <cell r="O16">
            <v>459.68119999999999</v>
          </cell>
          <cell r="P16">
            <v>459.67</v>
          </cell>
          <cell r="Q16">
            <v>459.69</v>
          </cell>
          <cell r="R16">
            <v>0</v>
          </cell>
          <cell r="S16">
            <v>0</v>
          </cell>
          <cell r="T16">
            <v>0</v>
          </cell>
          <cell r="U16">
            <v>0</v>
          </cell>
          <cell r="V16">
            <v>0</v>
          </cell>
          <cell r="W16">
            <v>1</v>
          </cell>
          <cell r="X16" t="e">
            <v>#DIV/0!</v>
          </cell>
          <cell r="Y16" t="e">
            <v>#DIV/0!</v>
          </cell>
          <cell r="Z16">
            <v>0</v>
          </cell>
          <cell r="AA16">
            <v>0.75</v>
          </cell>
          <cell r="AB16">
            <v>0</v>
          </cell>
        </row>
        <row r="17">
          <cell r="A17">
            <v>0</v>
          </cell>
          <cell r="B17" t="e">
            <v>#DIV/0!</v>
          </cell>
          <cell r="C17">
            <v>0</v>
          </cell>
          <cell r="D17" t="e">
            <v>#DIV/0!</v>
          </cell>
          <cell r="E17">
            <v>0</v>
          </cell>
          <cell r="F17">
            <v>0</v>
          </cell>
          <cell r="G17">
            <v>0</v>
          </cell>
          <cell r="H17">
            <v>0</v>
          </cell>
          <cell r="I17">
            <v>0</v>
          </cell>
          <cell r="J17">
            <v>0</v>
          </cell>
          <cell r="K17">
            <v>0</v>
          </cell>
          <cell r="L17">
            <v>0.17</v>
          </cell>
          <cell r="M17">
            <v>0.17</v>
          </cell>
          <cell r="N17">
            <v>0.17</v>
          </cell>
          <cell r="O17">
            <v>459.68119999999999</v>
          </cell>
          <cell r="P17">
            <v>459.67</v>
          </cell>
          <cell r="Q17">
            <v>459.69</v>
          </cell>
          <cell r="R17">
            <v>0</v>
          </cell>
          <cell r="S17">
            <v>0</v>
          </cell>
          <cell r="T17">
            <v>0</v>
          </cell>
          <cell r="U17">
            <v>0</v>
          </cell>
          <cell r="V17">
            <v>0</v>
          </cell>
          <cell r="W17">
            <v>1</v>
          </cell>
          <cell r="X17" t="e">
            <v>#DIV/0!</v>
          </cell>
          <cell r="Y17" t="e">
            <v>#DIV/0!</v>
          </cell>
          <cell r="Z17">
            <v>0</v>
          </cell>
          <cell r="AA17">
            <v>0.75</v>
          </cell>
          <cell r="AB17">
            <v>0</v>
          </cell>
        </row>
        <row r="18">
          <cell r="A18">
            <v>0</v>
          </cell>
          <cell r="B18" t="e">
            <v>#DIV/0!</v>
          </cell>
          <cell r="C18">
            <v>0</v>
          </cell>
          <cell r="D18" t="e">
            <v>#DIV/0!</v>
          </cell>
          <cell r="E18">
            <v>0</v>
          </cell>
          <cell r="F18">
            <v>0</v>
          </cell>
          <cell r="G18">
            <v>0</v>
          </cell>
          <cell r="H18">
            <v>0</v>
          </cell>
          <cell r="I18">
            <v>0</v>
          </cell>
          <cell r="J18">
            <v>0</v>
          </cell>
          <cell r="K18">
            <v>0</v>
          </cell>
          <cell r="L18">
            <v>0.17</v>
          </cell>
          <cell r="M18">
            <v>0.17</v>
          </cell>
          <cell r="N18">
            <v>0.17</v>
          </cell>
          <cell r="O18">
            <v>459.68119999999999</v>
          </cell>
          <cell r="P18">
            <v>459.67</v>
          </cell>
          <cell r="Q18">
            <v>459.69</v>
          </cell>
          <cell r="R18">
            <v>0</v>
          </cell>
          <cell r="S18">
            <v>0</v>
          </cell>
          <cell r="T18">
            <v>0</v>
          </cell>
          <cell r="U18">
            <v>0</v>
          </cell>
          <cell r="V18">
            <v>0</v>
          </cell>
          <cell r="W18">
            <v>1</v>
          </cell>
          <cell r="X18" t="e">
            <v>#DIV/0!</v>
          </cell>
          <cell r="Y18" t="e">
            <v>#DIV/0!</v>
          </cell>
          <cell r="Z18">
            <v>0</v>
          </cell>
          <cell r="AA18">
            <v>0.75</v>
          </cell>
          <cell r="AB18">
            <v>0</v>
          </cell>
        </row>
        <row r="19">
          <cell r="A19">
            <v>0</v>
          </cell>
          <cell r="B19" t="e">
            <v>#DIV/0!</v>
          </cell>
          <cell r="C19">
            <v>0</v>
          </cell>
          <cell r="D19" t="e">
            <v>#DIV/0!</v>
          </cell>
          <cell r="E19">
            <v>0</v>
          </cell>
          <cell r="F19">
            <v>0</v>
          </cell>
          <cell r="G19">
            <v>0</v>
          </cell>
          <cell r="H19">
            <v>0</v>
          </cell>
          <cell r="I19">
            <v>0</v>
          </cell>
          <cell r="J19">
            <v>0</v>
          </cell>
          <cell r="K19">
            <v>0</v>
          </cell>
          <cell r="L19">
            <v>0.17</v>
          </cell>
          <cell r="M19">
            <v>0.17</v>
          </cell>
          <cell r="N19">
            <v>0.17</v>
          </cell>
          <cell r="O19">
            <v>459.68119999999999</v>
          </cell>
          <cell r="P19">
            <v>459.67</v>
          </cell>
          <cell r="Q19">
            <v>459.69</v>
          </cell>
          <cell r="R19">
            <v>0</v>
          </cell>
          <cell r="S19">
            <v>0</v>
          </cell>
          <cell r="T19">
            <v>0</v>
          </cell>
          <cell r="U19">
            <v>0</v>
          </cell>
          <cell r="V19">
            <v>0</v>
          </cell>
          <cell r="W19">
            <v>1</v>
          </cell>
          <cell r="X19" t="e">
            <v>#DIV/0!</v>
          </cell>
          <cell r="Y19" t="e">
            <v>#DIV/0!</v>
          </cell>
          <cell r="Z19">
            <v>0</v>
          </cell>
          <cell r="AA19">
            <v>0.75</v>
          </cell>
          <cell r="AB19">
            <v>0</v>
          </cell>
        </row>
        <row r="20">
          <cell r="A20">
            <v>0</v>
          </cell>
          <cell r="B20" t="e">
            <v>#DIV/0!</v>
          </cell>
          <cell r="C20">
            <v>0</v>
          </cell>
          <cell r="D20" t="e">
            <v>#DIV/0!</v>
          </cell>
          <cell r="E20">
            <v>0</v>
          </cell>
          <cell r="F20">
            <v>0</v>
          </cell>
          <cell r="G20">
            <v>0</v>
          </cell>
          <cell r="H20">
            <v>0</v>
          </cell>
          <cell r="I20">
            <v>0</v>
          </cell>
          <cell r="J20">
            <v>0</v>
          </cell>
          <cell r="K20">
            <v>0</v>
          </cell>
          <cell r="L20">
            <v>0.17</v>
          </cell>
          <cell r="M20">
            <v>0.17</v>
          </cell>
          <cell r="N20">
            <v>0.17</v>
          </cell>
          <cell r="O20">
            <v>459.68119999999999</v>
          </cell>
          <cell r="P20">
            <v>459.67</v>
          </cell>
          <cell r="Q20">
            <v>459.69</v>
          </cell>
          <cell r="R20">
            <v>0</v>
          </cell>
          <cell r="S20">
            <v>0</v>
          </cell>
          <cell r="T20">
            <v>0</v>
          </cell>
          <cell r="U20">
            <v>0</v>
          </cell>
          <cell r="V20">
            <v>0</v>
          </cell>
          <cell r="W20">
            <v>1</v>
          </cell>
          <cell r="X20" t="e">
            <v>#DIV/0!</v>
          </cell>
          <cell r="Y20" t="e">
            <v>#DIV/0!</v>
          </cell>
          <cell r="Z20">
            <v>0</v>
          </cell>
          <cell r="AA20">
            <v>0.75</v>
          </cell>
          <cell r="AB20">
            <v>0</v>
          </cell>
        </row>
        <row r="21">
          <cell r="A21">
            <v>0</v>
          </cell>
          <cell r="B21" t="e">
            <v>#DIV/0!</v>
          </cell>
          <cell r="C21">
            <v>0</v>
          </cell>
          <cell r="D21" t="e">
            <v>#DIV/0!</v>
          </cell>
          <cell r="E21">
            <v>0</v>
          </cell>
          <cell r="F21">
            <v>0</v>
          </cell>
          <cell r="G21">
            <v>0</v>
          </cell>
          <cell r="H21">
            <v>0</v>
          </cell>
          <cell r="I21">
            <v>0</v>
          </cell>
          <cell r="J21">
            <v>0</v>
          </cell>
          <cell r="K21">
            <v>0</v>
          </cell>
          <cell r="L21">
            <v>0.17</v>
          </cell>
          <cell r="M21">
            <v>0.17</v>
          </cell>
          <cell r="N21">
            <v>0.17</v>
          </cell>
          <cell r="O21">
            <v>459.68119999999999</v>
          </cell>
          <cell r="P21">
            <v>459.67</v>
          </cell>
          <cell r="Q21">
            <v>459.69</v>
          </cell>
          <cell r="R21">
            <v>0</v>
          </cell>
          <cell r="S21">
            <v>0</v>
          </cell>
          <cell r="T21">
            <v>0</v>
          </cell>
          <cell r="U21">
            <v>0</v>
          </cell>
          <cell r="V21">
            <v>0</v>
          </cell>
          <cell r="W21">
            <v>1</v>
          </cell>
          <cell r="X21" t="e">
            <v>#DIV/0!</v>
          </cell>
          <cell r="Y21" t="e">
            <v>#DIV/0!</v>
          </cell>
          <cell r="Z21">
            <v>0</v>
          </cell>
          <cell r="AA21">
            <v>0.75</v>
          </cell>
          <cell r="AB21">
            <v>0</v>
          </cell>
        </row>
        <row r="22">
          <cell r="A22">
            <v>0</v>
          </cell>
          <cell r="B22" t="e">
            <v>#DIV/0!</v>
          </cell>
          <cell r="C22">
            <v>0</v>
          </cell>
          <cell r="D22" t="e">
            <v>#DIV/0!</v>
          </cell>
          <cell r="E22">
            <v>0</v>
          </cell>
          <cell r="F22">
            <v>0</v>
          </cell>
          <cell r="G22">
            <v>0</v>
          </cell>
          <cell r="H22">
            <v>0</v>
          </cell>
          <cell r="I22">
            <v>0</v>
          </cell>
          <cell r="J22">
            <v>0</v>
          </cell>
          <cell r="K22">
            <v>0</v>
          </cell>
          <cell r="L22">
            <v>0.17</v>
          </cell>
          <cell r="M22">
            <v>0.17</v>
          </cell>
          <cell r="N22">
            <v>0.17</v>
          </cell>
          <cell r="O22">
            <v>459.68119999999999</v>
          </cell>
          <cell r="P22">
            <v>459.67</v>
          </cell>
          <cell r="Q22">
            <v>459.69</v>
          </cell>
          <cell r="R22">
            <v>0</v>
          </cell>
          <cell r="S22">
            <v>0</v>
          </cell>
          <cell r="T22">
            <v>0</v>
          </cell>
          <cell r="U22">
            <v>0</v>
          </cell>
          <cell r="V22">
            <v>0</v>
          </cell>
          <cell r="W22">
            <v>1</v>
          </cell>
          <cell r="X22" t="e">
            <v>#DIV/0!</v>
          </cell>
          <cell r="Y22" t="e">
            <v>#DIV/0!</v>
          </cell>
          <cell r="Z22">
            <v>0</v>
          </cell>
          <cell r="AA22">
            <v>0.75</v>
          </cell>
          <cell r="AB22">
            <v>0</v>
          </cell>
        </row>
        <row r="23">
          <cell r="A23">
            <v>0</v>
          </cell>
          <cell r="B23" t="e">
            <v>#DIV/0!</v>
          </cell>
          <cell r="C23">
            <v>0</v>
          </cell>
          <cell r="D23" t="e">
            <v>#DIV/0!</v>
          </cell>
          <cell r="E23">
            <v>0</v>
          </cell>
          <cell r="F23">
            <v>0</v>
          </cell>
          <cell r="G23">
            <v>0</v>
          </cell>
          <cell r="H23">
            <v>0</v>
          </cell>
          <cell r="I23">
            <v>0</v>
          </cell>
          <cell r="J23">
            <v>0</v>
          </cell>
          <cell r="K23">
            <v>0</v>
          </cell>
          <cell r="L23">
            <v>0.17</v>
          </cell>
          <cell r="M23">
            <v>0.17</v>
          </cell>
          <cell r="N23">
            <v>0.17</v>
          </cell>
          <cell r="O23">
            <v>459.68119999999999</v>
          </cell>
          <cell r="P23">
            <v>459.67</v>
          </cell>
          <cell r="Q23">
            <v>459.69</v>
          </cell>
          <cell r="R23">
            <v>0</v>
          </cell>
          <cell r="S23">
            <v>0</v>
          </cell>
          <cell r="T23">
            <v>0</v>
          </cell>
          <cell r="U23">
            <v>0</v>
          </cell>
          <cell r="V23">
            <v>0</v>
          </cell>
          <cell r="W23">
            <v>1</v>
          </cell>
          <cell r="X23" t="e">
            <v>#DIV/0!</v>
          </cell>
          <cell r="Y23" t="e">
            <v>#DIV/0!</v>
          </cell>
          <cell r="Z23">
            <v>0</v>
          </cell>
          <cell r="AA23">
            <v>0.75</v>
          </cell>
          <cell r="AB23">
            <v>0</v>
          </cell>
        </row>
        <row r="24">
          <cell r="A24">
            <v>0</v>
          </cell>
          <cell r="B24" t="e">
            <v>#DIV/0!</v>
          </cell>
          <cell r="C24">
            <v>0</v>
          </cell>
          <cell r="D24" t="e">
            <v>#DIV/0!</v>
          </cell>
          <cell r="E24">
            <v>0</v>
          </cell>
          <cell r="F24">
            <v>0</v>
          </cell>
          <cell r="G24">
            <v>0</v>
          </cell>
          <cell r="H24">
            <v>0</v>
          </cell>
          <cell r="I24">
            <v>0</v>
          </cell>
          <cell r="J24">
            <v>0</v>
          </cell>
          <cell r="K24">
            <v>0</v>
          </cell>
          <cell r="L24">
            <v>0.17</v>
          </cell>
          <cell r="M24">
            <v>0.17</v>
          </cell>
          <cell r="N24">
            <v>0.17</v>
          </cell>
          <cell r="O24">
            <v>459.68119999999999</v>
          </cell>
          <cell r="P24">
            <v>459.67</v>
          </cell>
          <cell r="Q24">
            <v>459.69</v>
          </cell>
          <cell r="R24">
            <v>0</v>
          </cell>
          <cell r="S24">
            <v>0</v>
          </cell>
          <cell r="T24">
            <v>0</v>
          </cell>
          <cell r="U24">
            <v>0</v>
          </cell>
          <cell r="V24">
            <v>0</v>
          </cell>
          <cell r="W24">
            <v>1</v>
          </cell>
          <cell r="X24" t="e">
            <v>#DIV/0!</v>
          </cell>
          <cell r="Y24" t="e">
            <v>#DIV/0!</v>
          </cell>
          <cell r="Z24">
            <v>0</v>
          </cell>
          <cell r="AA24">
            <v>0.75</v>
          </cell>
          <cell r="AB24">
            <v>0</v>
          </cell>
        </row>
        <row r="25">
          <cell r="A25">
            <v>0</v>
          </cell>
          <cell r="B25" t="e">
            <v>#DIV/0!</v>
          </cell>
          <cell r="C25">
            <v>0</v>
          </cell>
          <cell r="D25" t="e">
            <v>#DIV/0!</v>
          </cell>
          <cell r="E25">
            <v>0</v>
          </cell>
          <cell r="F25">
            <v>0</v>
          </cell>
          <cell r="G25">
            <v>0</v>
          </cell>
          <cell r="H25">
            <v>0</v>
          </cell>
          <cell r="I25">
            <v>0</v>
          </cell>
          <cell r="J25">
            <v>0</v>
          </cell>
          <cell r="K25">
            <v>0</v>
          </cell>
          <cell r="L25">
            <v>0.17</v>
          </cell>
          <cell r="M25">
            <v>0.17</v>
          </cell>
          <cell r="N25">
            <v>0.17</v>
          </cell>
          <cell r="O25">
            <v>459.68119999999999</v>
          </cell>
          <cell r="P25">
            <v>459.67</v>
          </cell>
          <cell r="Q25">
            <v>459.69</v>
          </cell>
          <cell r="R25">
            <v>0</v>
          </cell>
          <cell r="S25">
            <v>0</v>
          </cell>
          <cell r="T25">
            <v>0</v>
          </cell>
          <cell r="U25">
            <v>0</v>
          </cell>
          <cell r="V25">
            <v>0</v>
          </cell>
          <cell r="W25">
            <v>1</v>
          </cell>
          <cell r="X25" t="e">
            <v>#DIV/0!</v>
          </cell>
          <cell r="Y25" t="e">
            <v>#DIV/0!</v>
          </cell>
          <cell r="Z25">
            <v>0</v>
          </cell>
          <cell r="AA25">
            <v>0.75</v>
          </cell>
          <cell r="AB25">
            <v>0</v>
          </cell>
        </row>
        <row r="26">
          <cell r="A26">
            <v>0</v>
          </cell>
          <cell r="B26" t="e">
            <v>#DIV/0!</v>
          </cell>
          <cell r="C26">
            <v>0</v>
          </cell>
          <cell r="D26" t="e">
            <v>#DIV/0!</v>
          </cell>
          <cell r="E26">
            <v>0</v>
          </cell>
          <cell r="F26">
            <v>0</v>
          </cell>
          <cell r="G26">
            <v>0</v>
          </cell>
          <cell r="H26">
            <v>0</v>
          </cell>
          <cell r="I26">
            <v>0</v>
          </cell>
          <cell r="J26">
            <v>0</v>
          </cell>
          <cell r="K26">
            <v>0</v>
          </cell>
          <cell r="L26">
            <v>0.17</v>
          </cell>
          <cell r="M26">
            <v>0.17</v>
          </cell>
          <cell r="N26">
            <v>0.17</v>
          </cell>
          <cell r="O26">
            <v>459.68119999999999</v>
          </cell>
          <cell r="P26">
            <v>459.67</v>
          </cell>
          <cell r="Q26">
            <v>459.69</v>
          </cell>
          <cell r="R26">
            <v>0</v>
          </cell>
          <cell r="S26">
            <v>0</v>
          </cell>
          <cell r="T26">
            <v>0</v>
          </cell>
          <cell r="U26">
            <v>0</v>
          </cell>
          <cell r="V26">
            <v>0</v>
          </cell>
          <cell r="W26">
            <v>1</v>
          </cell>
          <cell r="X26" t="e">
            <v>#DIV/0!</v>
          </cell>
          <cell r="Y26" t="e">
            <v>#DIV/0!</v>
          </cell>
          <cell r="Z26">
            <v>0</v>
          </cell>
          <cell r="AA26">
            <v>0.75</v>
          </cell>
          <cell r="AB26">
            <v>0</v>
          </cell>
        </row>
        <row r="27">
          <cell r="A27">
            <v>0</v>
          </cell>
          <cell r="B27" t="e">
            <v>#DIV/0!</v>
          </cell>
          <cell r="C27">
            <v>0</v>
          </cell>
          <cell r="D27" t="e">
            <v>#DIV/0!</v>
          </cell>
          <cell r="E27">
            <v>0</v>
          </cell>
          <cell r="F27">
            <v>0</v>
          </cell>
          <cell r="G27">
            <v>0</v>
          </cell>
          <cell r="H27">
            <v>0</v>
          </cell>
          <cell r="I27">
            <v>0</v>
          </cell>
          <cell r="J27">
            <v>0</v>
          </cell>
          <cell r="K27">
            <v>0</v>
          </cell>
          <cell r="L27">
            <v>0.17</v>
          </cell>
          <cell r="M27">
            <v>0.17</v>
          </cell>
          <cell r="N27">
            <v>0.17</v>
          </cell>
          <cell r="O27">
            <v>459.68119999999999</v>
          </cell>
          <cell r="P27">
            <v>459.67</v>
          </cell>
          <cell r="Q27">
            <v>459.69</v>
          </cell>
          <cell r="R27">
            <v>0</v>
          </cell>
          <cell r="S27">
            <v>0</v>
          </cell>
          <cell r="T27">
            <v>0</v>
          </cell>
          <cell r="U27">
            <v>0</v>
          </cell>
          <cell r="V27">
            <v>0</v>
          </cell>
          <cell r="W27">
            <v>1</v>
          </cell>
          <cell r="X27" t="e">
            <v>#DIV/0!</v>
          </cell>
          <cell r="Y27" t="e">
            <v>#DIV/0!</v>
          </cell>
          <cell r="Z27">
            <v>0</v>
          </cell>
          <cell r="AA27">
            <v>0.75</v>
          </cell>
          <cell r="AB27">
            <v>0</v>
          </cell>
        </row>
        <row r="28">
          <cell r="A28">
            <v>0</v>
          </cell>
          <cell r="B28" t="e">
            <v>#DIV/0!</v>
          </cell>
          <cell r="C28">
            <v>0</v>
          </cell>
          <cell r="D28" t="e">
            <v>#DIV/0!</v>
          </cell>
          <cell r="E28">
            <v>0</v>
          </cell>
          <cell r="F28">
            <v>0</v>
          </cell>
          <cell r="G28">
            <v>0</v>
          </cell>
          <cell r="H28">
            <v>0</v>
          </cell>
          <cell r="I28">
            <v>0</v>
          </cell>
          <cell r="J28">
            <v>0</v>
          </cell>
          <cell r="K28">
            <v>0</v>
          </cell>
          <cell r="L28">
            <v>0.17</v>
          </cell>
          <cell r="M28">
            <v>0.17</v>
          </cell>
          <cell r="N28">
            <v>0.17</v>
          </cell>
          <cell r="O28">
            <v>459.68119999999999</v>
          </cell>
          <cell r="P28">
            <v>459.67</v>
          </cell>
          <cell r="Q28">
            <v>459.69</v>
          </cell>
          <cell r="R28">
            <v>0</v>
          </cell>
          <cell r="S28">
            <v>0</v>
          </cell>
          <cell r="T28">
            <v>0</v>
          </cell>
          <cell r="U28">
            <v>0</v>
          </cell>
          <cell r="V28">
            <v>0</v>
          </cell>
          <cell r="W28">
            <v>1</v>
          </cell>
          <cell r="X28" t="e">
            <v>#DIV/0!</v>
          </cell>
          <cell r="Y28" t="e">
            <v>#DIV/0!</v>
          </cell>
          <cell r="Z28">
            <v>0</v>
          </cell>
          <cell r="AA28">
            <v>0.75</v>
          </cell>
          <cell r="AB28">
            <v>0</v>
          </cell>
        </row>
        <row r="29">
          <cell r="A29">
            <v>0</v>
          </cell>
          <cell r="B29" t="e">
            <v>#DIV/0!</v>
          </cell>
          <cell r="C29">
            <v>0</v>
          </cell>
          <cell r="D29" t="e">
            <v>#DIV/0!</v>
          </cell>
          <cell r="E29">
            <v>0</v>
          </cell>
          <cell r="F29">
            <v>0</v>
          </cell>
          <cell r="G29">
            <v>0</v>
          </cell>
          <cell r="H29">
            <v>0</v>
          </cell>
          <cell r="I29">
            <v>0</v>
          </cell>
          <cell r="J29">
            <v>0</v>
          </cell>
          <cell r="K29">
            <v>0</v>
          </cell>
          <cell r="L29">
            <v>0.17</v>
          </cell>
          <cell r="M29">
            <v>0.17</v>
          </cell>
          <cell r="N29">
            <v>0.17</v>
          </cell>
          <cell r="O29">
            <v>459.68119999999999</v>
          </cell>
          <cell r="P29">
            <v>459.67</v>
          </cell>
          <cell r="Q29">
            <v>459.69</v>
          </cell>
          <cell r="R29">
            <v>0</v>
          </cell>
          <cell r="S29">
            <v>0</v>
          </cell>
          <cell r="T29">
            <v>0</v>
          </cell>
          <cell r="U29">
            <v>0</v>
          </cell>
          <cell r="V29">
            <v>0</v>
          </cell>
          <cell r="W29">
            <v>1</v>
          </cell>
          <cell r="X29" t="e">
            <v>#DIV/0!</v>
          </cell>
          <cell r="Y29" t="e">
            <v>#DIV/0!</v>
          </cell>
          <cell r="Z29">
            <v>0</v>
          </cell>
          <cell r="AA29">
            <v>0.75</v>
          </cell>
          <cell r="AB29">
            <v>0</v>
          </cell>
        </row>
        <row r="30">
          <cell r="A30">
            <v>0</v>
          </cell>
          <cell r="B30" t="e">
            <v>#DIV/0!</v>
          </cell>
          <cell r="C30">
            <v>0</v>
          </cell>
          <cell r="D30" t="e">
            <v>#DIV/0!</v>
          </cell>
          <cell r="E30">
            <v>0</v>
          </cell>
          <cell r="F30">
            <v>0</v>
          </cell>
          <cell r="G30">
            <v>0</v>
          </cell>
          <cell r="H30">
            <v>0</v>
          </cell>
          <cell r="I30">
            <v>0</v>
          </cell>
          <cell r="J30">
            <v>0</v>
          </cell>
          <cell r="K30">
            <v>0</v>
          </cell>
          <cell r="L30">
            <v>0.17</v>
          </cell>
          <cell r="M30">
            <v>0.17</v>
          </cell>
          <cell r="N30">
            <v>0.17</v>
          </cell>
          <cell r="O30">
            <v>459.68119999999999</v>
          </cell>
          <cell r="P30">
            <v>459.67</v>
          </cell>
          <cell r="Q30">
            <v>459.69</v>
          </cell>
          <cell r="R30">
            <v>0</v>
          </cell>
          <cell r="S30">
            <v>0</v>
          </cell>
          <cell r="T30">
            <v>0</v>
          </cell>
          <cell r="U30">
            <v>0</v>
          </cell>
          <cell r="V30">
            <v>0</v>
          </cell>
          <cell r="W30">
            <v>1</v>
          </cell>
          <cell r="X30" t="e">
            <v>#DIV/0!</v>
          </cell>
          <cell r="Y30" t="e">
            <v>#DIV/0!</v>
          </cell>
          <cell r="Z30">
            <v>0</v>
          </cell>
          <cell r="AA30">
            <v>0.75</v>
          </cell>
          <cell r="AB30">
            <v>0</v>
          </cell>
        </row>
        <row r="31">
          <cell r="A31">
            <v>0</v>
          </cell>
          <cell r="B31" t="e">
            <v>#DIV/0!</v>
          </cell>
          <cell r="C31">
            <v>0</v>
          </cell>
          <cell r="D31" t="e">
            <v>#DIV/0!</v>
          </cell>
          <cell r="E31">
            <v>0</v>
          </cell>
          <cell r="F31">
            <v>0</v>
          </cell>
          <cell r="G31">
            <v>0</v>
          </cell>
          <cell r="H31">
            <v>0</v>
          </cell>
          <cell r="I31">
            <v>0</v>
          </cell>
          <cell r="J31">
            <v>0</v>
          </cell>
          <cell r="K31">
            <v>0</v>
          </cell>
          <cell r="L31">
            <v>0.17</v>
          </cell>
          <cell r="M31">
            <v>0.17</v>
          </cell>
          <cell r="N31">
            <v>0.17</v>
          </cell>
          <cell r="O31">
            <v>459.68119999999999</v>
          </cell>
          <cell r="P31">
            <v>459.67</v>
          </cell>
          <cell r="Q31">
            <v>459.69</v>
          </cell>
          <cell r="R31">
            <v>0</v>
          </cell>
          <cell r="S31">
            <v>0</v>
          </cell>
          <cell r="T31">
            <v>0</v>
          </cell>
          <cell r="U31">
            <v>0</v>
          </cell>
          <cell r="V31">
            <v>0</v>
          </cell>
          <cell r="W31">
            <v>1</v>
          </cell>
          <cell r="X31" t="e">
            <v>#DIV/0!</v>
          </cell>
          <cell r="Y31" t="e">
            <v>#DIV/0!</v>
          </cell>
          <cell r="Z31">
            <v>0</v>
          </cell>
          <cell r="AA31">
            <v>0.75</v>
          </cell>
          <cell r="AB31">
            <v>0</v>
          </cell>
        </row>
        <row r="32">
          <cell r="A32">
            <v>0</v>
          </cell>
          <cell r="B32" t="e">
            <v>#DIV/0!</v>
          </cell>
          <cell r="C32">
            <v>0</v>
          </cell>
          <cell r="D32" t="e">
            <v>#DIV/0!</v>
          </cell>
          <cell r="E32">
            <v>0</v>
          </cell>
          <cell r="F32">
            <v>0</v>
          </cell>
          <cell r="G32">
            <v>0</v>
          </cell>
          <cell r="H32">
            <v>0</v>
          </cell>
          <cell r="I32">
            <v>0</v>
          </cell>
          <cell r="J32">
            <v>0</v>
          </cell>
          <cell r="K32">
            <v>0</v>
          </cell>
          <cell r="L32">
            <v>0.17</v>
          </cell>
          <cell r="M32">
            <v>0.17</v>
          </cell>
          <cell r="N32">
            <v>0.17</v>
          </cell>
          <cell r="O32">
            <v>459.68119999999999</v>
          </cell>
          <cell r="P32">
            <v>459.67</v>
          </cell>
          <cell r="Q32">
            <v>459.69</v>
          </cell>
          <cell r="R32">
            <v>0</v>
          </cell>
          <cell r="S32">
            <v>0</v>
          </cell>
          <cell r="T32">
            <v>0</v>
          </cell>
          <cell r="U32">
            <v>0</v>
          </cell>
          <cell r="V32">
            <v>0</v>
          </cell>
          <cell r="W32">
            <v>1</v>
          </cell>
          <cell r="X32" t="e">
            <v>#DIV/0!</v>
          </cell>
          <cell r="Y32" t="e">
            <v>#DIV/0!</v>
          </cell>
          <cell r="Z32">
            <v>0</v>
          </cell>
          <cell r="AA32">
            <v>0.75</v>
          </cell>
          <cell r="AB32">
            <v>0</v>
          </cell>
        </row>
        <row r="33">
          <cell r="A33">
            <v>0</v>
          </cell>
          <cell r="B33" t="e">
            <v>#DIV/0!</v>
          </cell>
          <cell r="C33">
            <v>0</v>
          </cell>
          <cell r="D33" t="e">
            <v>#DIV/0!</v>
          </cell>
          <cell r="E33">
            <v>0</v>
          </cell>
          <cell r="F33">
            <v>0</v>
          </cell>
          <cell r="G33">
            <v>0</v>
          </cell>
          <cell r="H33">
            <v>0</v>
          </cell>
          <cell r="I33">
            <v>0</v>
          </cell>
          <cell r="J33">
            <v>0</v>
          </cell>
          <cell r="K33">
            <v>0</v>
          </cell>
          <cell r="L33">
            <v>0.17</v>
          </cell>
          <cell r="M33">
            <v>0.17</v>
          </cell>
          <cell r="N33">
            <v>0.17</v>
          </cell>
          <cell r="O33">
            <v>459.68119999999999</v>
          </cell>
          <cell r="P33">
            <v>459.67</v>
          </cell>
          <cell r="Q33">
            <v>459.69</v>
          </cell>
          <cell r="R33">
            <v>0</v>
          </cell>
          <cell r="S33">
            <v>0</v>
          </cell>
          <cell r="T33">
            <v>0</v>
          </cell>
          <cell r="U33">
            <v>0</v>
          </cell>
          <cell r="V33">
            <v>0</v>
          </cell>
          <cell r="W33">
            <v>1</v>
          </cell>
          <cell r="X33" t="e">
            <v>#DIV/0!</v>
          </cell>
          <cell r="Y33" t="e">
            <v>#DIV/0!</v>
          </cell>
          <cell r="Z33">
            <v>0</v>
          </cell>
          <cell r="AA33">
            <v>0.75</v>
          </cell>
          <cell r="AB33">
            <v>0</v>
          </cell>
        </row>
        <row r="34">
          <cell r="A34">
            <v>0</v>
          </cell>
          <cell r="B34" t="e">
            <v>#DIV/0!</v>
          </cell>
          <cell r="C34">
            <v>0</v>
          </cell>
          <cell r="D34" t="e">
            <v>#DIV/0!</v>
          </cell>
          <cell r="E34">
            <v>0</v>
          </cell>
          <cell r="F34">
            <v>0</v>
          </cell>
          <cell r="G34">
            <v>0</v>
          </cell>
          <cell r="H34">
            <v>0</v>
          </cell>
          <cell r="I34">
            <v>0</v>
          </cell>
          <cell r="J34">
            <v>0</v>
          </cell>
          <cell r="K34">
            <v>0</v>
          </cell>
          <cell r="L34">
            <v>0.17</v>
          </cell>
          <cell r="M34">
            <v>0.17</v>
          </cell>
          <cell r="N34">
            <v>0.17</v>
          </cell>
          <cell r="O34">
            <v>459.68119999999999</v>
          </cell>
          <cell r="P34">
            <v>459.67</v>
          </cell>
          <cell r="Q34">
            <v>459.69</v>
          </cell>
          <cell r="R34">
            <v>0</v>
          </cell>
          <cell r="S34">
            <v>0</v>
          </cell>
          <cell r="T34">
            <v>0</v>
          </cell>
          <cell r="U34">
            <v>0</v>
          </cell>
          <cell r="V34">
            <v>0</v>
          </cell>
          <cell r="W34">
            <v>1</v>
          </cell>
          <cell r="X34" t="e">
            <v>#DIV/0!</v>
          </cell>
          <cell r="Y34" t="e">
            <v>#DIV/0!</v>
          </cell>
          <cell r="Z34">
            <v>0</v>
          </cell>
          <cell r="AA34">
            <v>0.75</v>
          </cell>
          <cell r="AB34">
            <v>0</v>
          </cell>
        </row>
      </sheetData>
      <sheetData sheetId="2" refreshError="1"/>
      <sheetData sheetId="3" refreshError="1"/>
      <sheetData sheetId="4" refreshError="1"/>
      <sheetData sheetId="5" refreshError="1"/>
      <sheetData sheetId="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1"/>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POTW Discharge"/>
      <sheetName val="Wastewater Collection System"/>
      <sheetName val="Weir"/>
      <sheetName val="Oil-Water Separators"/>
      <sheetName val="DAF"/>
      <sheetName val="EQ Tanks"/>
      <sheetName val="Bio. Diff. Aer. Act. Sldg."/>
      <sheetName val="Bio. Mech. Aer. Act. Sldg."/>
      <sheetName val="Quiescent Unit"/>
      <sheetName val="Chemical Properties"/>
      <sheetName val="Tank 945"/>
    </sheetNames>
    <sheetDataSet>
      <sheetData sheetId="0">
        <row r="17">
          <cell r="T17">
            <v>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afer Starts"/>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FD"/>
      <sheetName val="Fig_2_3_Arial"/>
      <sheetName val="Emission Summary"/>
      <sheetName val="X_EMIS"/>
      <sheetName val="Stk_Info_For_L3"/>
      <sheetName val="IPA"/>
      <sheetName val="Existing Boilers"/>
      <sheetName val="Emergency_Equip"/>
      <sheetName val="Cold_Start"/>
      <sheetName val="TEU_Risk_Calc_All (2)"/>
      <sheetName val="Gas_TEU_Risk_Calc_All (2)"/>
      <sheetName val="TEU_Risk_Calc_All"/>
      <sheetName val="GAS_TEU_Risk_Calc_All"/>
      <sheetName val="Summary"/>
      <sheetName val="RBC"/>
      <sheetName val="Disp Factors"/>
      <sheetName val="Sheet2"/>
      <sheetName val="TAC_Info"/>
      <sheetName val="Totes"/>
      <sheetName val="Fugitive Leaks"/>
      <sheetName val="Reagent_Dry"/>
      <sheetName val="Cell_Access"/>
      <sheetName val="Process"/>
      <sheetName val="Info_Needs_List_R1"/>
      <sheetName val="Notes_Info"/>
      <sheetName val="Chems_from_GT_1_7_2019"/>
      <sheetName val="NG_Use_from_GT_1_8_19"/>
      <sheetName val="Equip Leaks_not_enough_info"/>
      <sheetName val="Tote_Size"/>
    </sheetNames>
    <sheetDataSet>
      <sheetData sheetId="0" refreshError="1"/>
      <sheetData sheetId="1" refreshError="1"/>
      <sheetData sheetId="2" refreshError="1"/>
      <sheetData sheetId="3" refreshError="1"/>
      <sheetData sheetId="4" refreshError="1"/>
      <sheetData sheetId="5" refreshError="1"/>
      <sheetData sheetId="6">
        <row r="47">
          <cell r="B47" t="str">
            <v>C401</v>
          </cell>
        </row>
      </sheetData>
      <sheetData sheetId="7" refreshError="1"/>
      <sheetData sheetId="8" refreshError="1"/>
      <sheetData sheetId="9" refreshError="1"/>
      <sheetData sheetId="10" refreshError="1"/>
      <sheetData sheetId="11" refreshError="1"/>
      <sheetData sheetId="12" refreshError="1"/>
      <sheetData sheetId="13" refreshError="1"/>
      <sheetData sheetId="14">
        <row r="6">
          <cell r="B6" t="str">
            <v>Acetaldehyde</v>
          </cell>
          <cell r="D6">
            <v>0.45</v>
          </cell>
          <cell r="E6">
            <v>140</v>
          </cell>
          <cell r="F6">
            <v>12</v>
          </cell>
          <cell r="G6">
            <v>620</v>
          </cell>
          <cell r="H6">
            <v>5.5</v>
          </cell>
          <cell r="I6">
            <v>620</v>
          </cell>
          <cell r="J6">
            <v>470</v>
          </cell>
        </row>
        <row r="7">
          <cell r="B7" t="str">
            <v>Acetamide</v>
          </cell>
          <cell r="D7">
            <v>0.05</v>
          </cell>
          <cell r="F7">
            <v>1.3</v>
          </cell>
          <cell r="H7">
            <v>0.6</v>
          </cell>
        </row>
        <row r="8">
          <cell r="B8" t="str">
            <v>Acetone</v>
          </cell>
          <cell r="E8">
            <v>31000</v>
          </cell>
          <cell r="G8">
            <v>140000</v>
          </cell>
          <cell r="I8">
            <v>140000</v>
          </cell>
          <cell r="J8">
            <v>62000</v>
          </cell>
        </row>
        <row r="9">
          <cell r="B9" t="str">
            <v>Acetonitrile</v>
          </cell>
          <cell r="E9">
            <v>60</v>
          </cell>
          <cell r="G9">
            <v>260</v>
          </cell>
          <cell r="I9">
            <v>260</v>
          </cell>
        </row>
        <row r="10">
          <cell r="B10" t="str">
            <v>Acrolein</v>
          </cell>
          <cell r="E10">
            <v>0.35</v>
          </cell>
          <cell r="G10">
            <v>1.5</v>
          </cell>
          <cell r="I10">
            <v>1.5</v>
          </cell>
          <cell r="J10">
            <v>6.9</v>
          </cell>
        </row>
        <row r="11">
          <cell r="B11" t="str">
            <v>Acrylamide</v>
          </cell>
          <cell r="C11" t="str">
            <v>g</v>
          </cell>
          <cell r="D11">
            <v>5.8999999999999999E-3</v>
          </cell>
          <cell r="E11">
            <v>6</v>
          </cell>
          <cell r="F11">
            <v>6.2E-2</v>
          </cell>
          <cell r="G11">
            <v>26</v>
          </cell>
          <cell r="H11">
            <v>0.12</v>
          </cell>
          <cell r="I11">
            <v>26</v>
          </cell>
          <cell r="J11" t="str">
            <v/>
          </cell>
        </row>
        <row r="12">
          <cell r="B12" t="str">
            <v>Acrylic acid</v>
          </cell>
          <cell r="E12">
            <v>1</v>
          </cell>
          <cell r="F12" t="str">
            <v/>
          </cell>
          <cell r="G12">
            <v>4.4000000000000004</v>
          </cell>
          <cell r="H12" t="str">
            <v/>
          </cell>
          <cell r="I12">
            <v>4.4000000000000004</v>
          </cell>
          <cell r="J12">
            <v>6000</v>
          </cell>
        </row>
        <row r="13">
          <cell r="B13" t="str">
            <v>Acrylonitrile</v>
          </cell>
          <cell r="D13">
            <v>1.4999999999999999E-2</v>
          </cell>
          <cell r="E13">
            <v>5</v>
          </cell>
          <cell r="F13">
            <v>0.38</v>
          </cell>
          <cell r="G13">
            <v>22</v>
          </cell>
          <cell r="H13">
            <v>0.18</v>
          </cell>
          <cell r="I13">
            <v>22</v>
          </cell>
          <cell r="J13">
            <v>220</v>
          </cell>
        </row>
        <row r="14">
          <cell r="B14" t="str">
            <v>Aldrin</v>
          </cell>
          <cell r="D14">
            <v>2.0000000000000001E-4</v>
          </cell>
          <cell r="F14">
            <v>5.3E-3</v>
          </cell>
          <cell r="H14">
            <v>2.3999999999999998E-3</v>
          </cell>
        </row>
        <row r="15">
          <cell r="B15" t="str">
            <v>Allyl chloride</v>
          </cell>
          <cell r="D15">
            <v>0.17</v>
          </cell>
          <cell r="E15">
            <v>1</v>
          </cell>
          <cell r="F15">
            <v>4.3</v>
          </cell>
          <cell r="G15">
            <v>4.4000000000000004</v>
          </cell>
          <cell r="H15">
            <v>2</v>
          </cell>
          <cell r="I15">
            <v>4.4000000000000004</v>
          </cell>
          <cell r="J15" t="str">
            <v/>
          </cell>
        </row>
        <row r="16">
          <cell r="B16" t="str">
            <v>Aluminum and compounds</v>
          </cell>
          <cell r="C16" t="str">
            <v>l</v>
          </cell>
          <cell r="E16">
            <v>5</v>
          </cell>
          <cell r="G16">
            <v>22</v>
          </cell>
          <cell r="I16">
            <v>22</v>
          </cell>
        </row>
        <row r="17">
          <cell r="B17" t="str">
            <v>Ammonia</v>
          </cell>
          <cell r="E17">
            <v>500</v>
          </cell>
          <cell r="G17">
            <v>2200</v>
          </cell>
          <cell r="I17">
            <v>2200</v>
          </cell>
          <cell r="J17">
            <v>1200</v>
          </cell>
        </row>
        <row r="18">
          <cell r="B18" t="str">
            <v>Aniline</v>
          </cell>
          <cell r="D18">
            <v>0.63</v>
          </cell>
          <cell r="E18">
            <v>1</v>
          </cell>
          <cell r="F18">
            <v>16</v>
          </cell>
          <cell r="G18">
            <v>4.4000000000000004</v>
          </cell>
          <cell r="H18">
            <v>7.5</v>
          </cell>
          <cell r="I18">
            <v>4.4000000000000004</v>
          </cell>
          <cell r="J18" t="str">
            <v/>
          </cell>
        </row>
        <row r="19">
          <cell r="B19" t="str">
            <v>Antimony and compounds</v>
          </cell>
          <cell r="E19">
            <v>0.3</v>
          </cell>
          <cell r="F19" t="str">
            <v/>
          </cell>
          <cell r="G19">
            <v>1.3</v>
          </cell>
          <cell r="H19" t="str">
            <v/>
          </cell>
          <cell r="I19">
            <v>1.3</v>
          </cell>
          <cell r="J19">
            <v>1</v>
          </cell>
        </row>
        <row r="20">
          <cell r="B20" t="str">
            <v>Aramite</v>
          </cell>
          <cell r="D20">
            <v>0.14000000000000001</v>
          </cell>
          <cell r="E20" t="str">
            <v/>
          </cell>
          <cell r="F20">
            <v>3.7</v>
          </cell>
          <cell r="G20" t="str">
            <v/>
          </cell>
          <cell r="H20">
            <v>1.7</v>
          </cell>
          <cell r="I20" t="str">
            <v/>
          </cell>
          <cell r="J20" t="str">
            <v/>
          </cell>
        </row>
        <row r="21">
          <cell r="B21" t="str">
            <v>Arsenic and compounds</v>
          </cell>
          <cell r="C21" t="str">
            <v>l</v>
          </cell>
          <cell r="D21">
            <v>2.3975065931431301E-5</v>
          </cell>
          <cell r="E21">
            <v>1.7000000000000001E-4</v>
          </cell>
          <cell r="F21">
            <v>1.2999999999999999E-3</v>
          </cell>
          <cell r="G21">
            <v>2.3999999999999998E-3</v>
          </cell>
          <cell r="H21">
            <v>6.2E-4</v>
          </cell>
          <cell r="I21">
            <v>2.3999999999999998E-3</v>
          </cell>
          <cell r="J21">
            <v>0.2</v>
          </cell>
        </row>
        <row r="22">
          <cell r="B22" t="str">
            <v>Arsine</v>
          </cell>
          <cell r="E22">
            <v>1.4999999999999999E-2</v>
          </cell>
          <cell r="F22" t="str">
            <v/>
          </cell>
          <cell r="G22">
            <v>6.6000000000000003E-2</v>
          </cell>
          <cell r="H22" t="str">
            <v/>
          </cell>
          <cell r="I22">
            <v>6.6000000000000003E-2</v>
          </cell>
          <cell r="J22">
            <v>0.2</v>
          </cell>
        </row>
        <row r="23">
          <cell r="B23" t="str">
            <v>Asbestos</v>
          </cell>
          <cell r="C23" t="str">
            <v>i</v>
          </cell>
          <cell r="D23">
            <v>4.3478260869565214E-6</v>
          </cell>
          <cell r="E23" t="str">
            <v/>
          </cell>
          <cell r="F23">
            <v>1.1E-4</v>
          </cell>
          <cell r="G23" t="str">
            <v/>
          </cell>
          <cell r="H23">
            <v>5.2173913043478256E-5</v>
          </cell>
          <cell r="I23" t="str">
            <v/>
          </cell>
          <cell r="J23" t="str">
            <v/>
          </cell>
        </row>
        <row r="24">
          <cell r="B24" t="str">
            <v>Azobenzene</v>
          </cell>
          <cell r="D24">
            <v>3.2000000000000001E-2</v>
          </cell>
          <cell r="E24" t="str">
            <v/>
          </cell>
          <cell r="F24">
            <v>0.84</v>
          </cell>
          <cell r="G24" t="str">
            <v/>
          </cell>
          <cell r="H24">
            <v>0.39</v>
          </cell>
          <cell r="I24" t="str">
            <v/>
          </cell>
          <cell r="J24" t="str">
            <v/>
          </cell>
        </row>
        <row r="25">
          <cell r="B25" t="str">
            <v>Benzene</v>
          </cell>
          <cell r="D25">
            <v>0.13</v>
          </cell>
          <cell r="E25">
            <v>3</v>
          </cell>
          <cell r="F25">
            <v>3.3</v>
          </cell>
          <cell r="G25">
            <v>13</v>
          </cell>
          <cell r="H25">
            <v>1.5</v>
          </cell>
          <cell r="I25">
            <v>13</v>
          </cell>
          <cell r="J25">
            <v>29</v>
          </cell>
        </row>
        <row r="26">
          <cell r="B26" t="str">
            <v>Benzidine (and its salts)</v>
          </cell>
          <cell r="C26" t="str">
            <v>g</v>
          </cell>
          <cell r="D26">
            <v>4.2016806722689068E-6</v>
          </cell>
          <cell r="E26" t="str">
            <v/>
          </cell>
          <cell r="F26">
            <v>4.3999999999999999E-5</v>
          </cell>
          <cell r="G26" t="str">
            <v/>
          </cell>
          <cell r="H26">
            <v>8.6000000000000003E-5</v>
          </cell>
          <cell r="I26" t="str">
            <v/>
          </cell>
          <cell r="J26" t="str">
            <v/>
          </cell>
        </row>
        <row r="27">
          <cell r="B27" t="str">
            <v>Benzyl chloride</v>
          </cell>
          <cell r="D27">
            <v>0.02</v>
          </cell>
          <cell r="E27">
            <v>1</v>
          </cell>
          <cell r="F27">
            <v>0.53</v>
          </cell>
          <cell r="G27">
            <v>4.4000000000000004</v>
          </cell>
          <cell r="H27">
            <v>0.24</v>
          </cell>
          <cell r="I27">
            <v>4.4000000000000004</v>
          </cell>
          <cell r="J27">
            <v>240</v>
          </cell>
        </row>
        <row r="28">
          <cell r="B28" t="str">
            <v>Beryllium and compounds</v>
          </cell>
          <cell r="C28" t="str">
            <v>l</v>
          </cell>
          <cell r="D28">
            <v>4.2000000000000002E-4</v>
          </cell>
          <cell r="E28">
            <v>7.0000000000000001E-3</v>
          </cell>
          <cell r="F28">
            <v>1.0999999999999999E-2</v>
          </cell>
          <cell r="G28">
            <v>3.1E-2</v>
          </cell>
          <cell r="H28">
            <v>5.0000000000000001E-3</v>
          </cell>
          <cell r="I28">
            <v>3.1E-2</v>
          </cell>
          <cell r="J28">
            <v>0.02</v>
          </cell>
        </row>
        <row r="29">
          <cell r="B29" t="str">
            <v>Bis(2-chloroethyl) ether (DCEE)</v>
          </cell>
          <cell r="D29">
            <v>1.4E-3</v>
          </cell>
          <cell r="E29" t="str">
            <v/>
          </cell>
          <cell r="F29">
            <v>3.6999999999999998E-2</v>
          </cell>
          <cell r="G29" t="str">
            <v/>
          </cell>
          <cell r="H29">
            <v>1.7000000000000001E-2</v>
          </cell>
          <cell r="I29" t="str">
            <v/>
          </cell>
          <cell r="J29">
            <v>120</v>
          </cell>
        </row>
        <row r="30">
          <cell r="B30" t="str">
            <v>Bis(chloromethyl) ether</v>
          </cell>
          <cell r="D30">
            <v>7.6923076923076926E-5</v>
          </cell>
          <cell r="E30" t="str">
            <v/>
          </cell>
          <cell r="F30">
            <v>2E-3</v>
          </cell>
          <cell r="G30" t="str">
            <v/>
          </cell>
          <cell r="H30">
            <v>9.2000000000000003E-4</v>
          </cell>
          <cell r="I30" t="str">
            <v/>
          </cell>
          <cell r="J30">
            <v>1.4</v>
          </cell>
        </row>
        <row r="31">
          <cell r="B31" t="str">
            <v>Bis(2-ethylhexyl) phthalate (DEHP)</v>
          </cell>
          <cell r="C31" t="str">
            <v>c</v>
          </cell>
          <cell r="D31">
            <v>0.08</v>
          </cell>
          <cell r="E31" t="str">
            <v/>
          </cell>
          <cell r="F31">
            <v>11</v>
          </cell>
          <cell r="G31" t="str">
            <v/>
          </cell>
          <cell r="H31">
            <v>5</v>
          </cell>
          <cell r="I31" t="str">
            <v/>
          </cell>
          <cell r="J31" t="str">
            <v/>
          </cell>
        </row>
        <row r="32">
          <cell r="B32" t="str">
            <v>Bromoform</v>
          </cell>
          <cell r="D32">
            <v>0.91</v>
          </cell>
          <cell r="E32" t="str">
            <v/>
          </cell>
          <cell r="F32">
            <v>24</v>
          </cell>
          <cell r="G32" t="str">
            <v/>
          </cell>
          <cell r="H32">
            <v>11</v>
          </cell>
          <cell r="I32" t="str">
            <v/>
          </cell>
          <cell r="J32" t="str">
            <v/>
          </cell>
        </row>
        <row r="33">
          <cell r="B33" t="str">
            <v>Bromomethane (Methyl bromide)</v>
          </cell>
          <cell r="E33">
            <v>5</v>
          </cell>
          <cell r="F33" t="str">
            <v/>
          </cell>
          <cell r="G33">
            <v>22</v>
          </cell>
          <cell r="H33" t="str">
            <v/>
          </cell>
          <cell r="I33">
            <v>22</v>
          </cell>
          <cell r="J33">
            <v>3900</v>
          </cell>
        </row>
        <row r="34">
          <cell r="B34" t="str">
            <v>1-Bromopropane (n-propyl bromide)</v>
          </cell>
          <cell r="D34">
            <v>0.48</v>
          </cell>
          <cell r="E34">
            <v>33</v>
          </cell>
          <cell r="F34">
            <v>12</v>
          </cell>
          <cell r="G34">
            <v>150</v>
          </cell>
          <cell r="H34">
            <v>5.7</v>
          </cell>
          <cell r="I34">
            <v>150</v>
          </cell>
          <cell r="J34">
            <v>1700</v>
          </cell>
        </row>
        <row r="35">
          <cell r="B35" t="str">
            <v>1,3-Butadiene</v>
          </cell>
          <cell r="D35">
            <v>3.3000000000000002E-2</v>
          </cell>
          <cell r="E35">
            <v>2</v>
          </cell>
          <cell r="F35">
            <v>0.86</v>
          </cell>
          <cell r="G35">
            <v>8.8000000000000007</v>
          </cell>
          <cell r="H35">
            <v>0.4</v>
          </cell>
          <cell r="I35">
            <v>8.8000000000000007</v>
          </cell>
          <cell r="J35">
            <v>660</v>
          </cell>
        </row>
        <row r="36">
          <cell r="B36" t="str">
            <v>2-Butanone (Methyl ethyl ketone)</v>
          </cell>
          <cell r="E36">
            <v>5000</v>
          </cell>
          <cell r="F36" t="str">
            <v/>
          </cell>
          <cell r="G36">
            <v>22000</v>
          </cell>
          <cell r="H36" t="str">
            <v/>
          </cell>
          <cell r="I36">
            <v>22000</v>
          </cell>
          <cell r="J36">
            <v>5000</v>
          </cell>
        </row>
        <row r="37">
          <cell r="B37" t="str">
            <v>sec-Butyl alcohol</v>
          </cell>
          <cell r="D37" t="str">
            <v/>
          </cell>
          <cell r="E37">
            <v>30000</v>
          </cell>
          <cell r="F37" t="str">
            <v/>
          </cell>
          <cell r="G37">
            <v>130000</v>
          </cell>
          <cell r="H37" t="str">
            <v/>
          </cell>
          <cell r="I37">
            <v>130000</v>
          </cell>
          <cell r="J37" t="str">
            <v/>
          </cell>
        </row>
        <row r="38">
          <cell r="B38" t="str">
            <v>Cadmium and compounds</v>
          </cell>
          <cell r="C38" t="str">
            <v>c, l</v>
          </cell>
          <cell r="D38">
            <v>5.5999999999999995E-4</v>
          </cell>
          <cell r="E38">
            <v>5.0000000000000001E-3</v>
          </cell>
          <cell r="F38">
            <v>1.4E-2</v>
          </cell>
          <cell r="G38">
            <v>3.6999999999999998E-2</v>
          </cell>
          <cell r="H38">
            <v>6.7000000000000002E-3</v>
          </cell>
          <cell r="I38">
            <v>3.6999999999999998E-2</v>
          </cell>
          <cell r="J38">
            <v>0.03</v>
          </cell>
        </row>
        <row r="39">
          <cell r="B39" t="str">
            <v>Caprolactam</v>
          </cell>
          <cell r="E39">
            <v>2.2000000000000002</v>
          </cell>
          <cell r="F39" t="str">
            <v/>
          </cell>
          <cell r="G39">
            <v>9.6999999999999993</v>
          </cell>
          <cell r="H39" t="str">
            <v/>
          </cell>
          <cell r="I39">
            <v>9.6999999999999993</v>
          </cell>
          <cell r="J39">
            <v>50</v>
          </cell>
        </row>
        <row r="40">
          <cell r="B40" t="str">
            <v>Carbon disulfide</v>
          </cell>
          <cell r="E40">
            <v>800</v>
          </cell>
          <cell r="F40" t="str">
            <v/>
          </cell>
          <cell r="G40">
            <v>3500</v>
          </cell>
          <cell r="H40" t="str">
            <v/>
          </cell>
          <cell r="I40">
            <v>3500</v>
          </cell>
          <cell r="J40">
            <v>6200</v>
          </cell>
        </row>
        <row r="41">
          <cell r="B41" t="str">
            <v>Carbon tetrachloride</v>
          </cell>
          <cell r="D41">
            <v>0.17</v>
          </cell>
          <cell r="E41">
            <v>100</v>
          </cell>
          <cell r="F41">
            <v>4.3</v>
          </cell>
          <cell r="G41">
            <v>440</v>
          </cell>
          <cell r="H41">
            <v>2</v>
          </cell>
          <cell r="I41">
            <v>440</v>
          </cell>
          <cell r="J41">
            <v>1900</v>
          </cell>
        </row>
        <row r="42">
          <cell r="B42" t="str">
            <v>Carbonyl sulfide</v>
          </cell>
          <cell r="E42">
            <v>10</v>
          </cell>
          <cell r="F42" t="str">
            <v/>
          </cell>
          <cell r="G42">
            <v>44</v>
          </cell>
          <cell r="H42" t="str">
            <v/>
          </cell>
          <cell r="I42">
            <v>44</v>
          </cell>
          <cell r="J42">
            <v>660</v>
          </cell>
        </row>
        <row r="43">
          <cell r="B43" t="str">
            <v>Chlordane</v>
          </cell>
          <cell r="D43">
            <v>0.01</v>
          </cell>
          <cell r="E43">
            <v>0.02</v>
          </cell>
          <cell r="F43">
            <v>0.26</v>
          </cell>
          <cell r="G43">
            <v>8.7999999999999995E-2</v>
          </cell>
          <cell r="H43">
            <v>0.12</v>
          </cell>
          <cell r="I43">
            <v>8.7999999999999995E-2</v>
          </cell>
          <cell r="J43">
            <v>0.2</v>
          </cell>
        </row>
        <row r="44">
          <cell r="B44" t="str">
            <v>Chlorinated paraffins</v>
          </cell>
          <cell r="C44" t="str">
            <v>j</v>
          </cell>
          <cell r="D44">
            <v>0.04</v>
          </cell>
          <cell r="E44" t="str">
            <v/>
          </cell>
          <cell r="F44">
            <v>1</v>
          </cell>
          <cell r="G44" t="str">
            <v/>
          </cell>
          <cell r="H44">
            <v>0.48</v>
          </cell>
          <cell r="I44" t="str">
            <v/>
          </cell>
          <cell r="J44" t="str">
            <v/>
          </cell>
        </row>
        <row r="45">
          <cell r="B45" t="str">
            <v>Chlorine</v>
          </cell>
          <cell r="E45">
            <v>0.15</v>
          </cell>
          <cell r="G45">
            <v>0.66</v>
          </cell>
          <cell r="I45">
            <v>0.66</v>
          </cell>
          <cell r="J45">
            <v>170</v>
          </cell>
        </row>
        <row r="46">
          <cell r="B46" t="str">
            <v>Chlorine dioxide</v>
          </cell>
          <cell r="E46">
            <v>0.6</v>
          </cell>
          <cell r="G46">
            <v>2.6</v>
          </cell>
          <cell r="I46">
            <v>2.6</v>
          </cell>
          <cell r="J46">
            <v>2.8</v>
          </cell>
        </row>
        <row r="47">
          <cell r="B47" t="str">
            <v>2-Chloroacetophenone</v>
          </cell>
          <cell r="E47">
            <v>0.03</v>
          </cell>
          <cell r="G47">
            <v>0.13</v>
          </cell>
          <cell r="I47">
            <v>0.13</v>
          </cell>
          <cell r="J47" t="str">
            <v/>
          </cell>
        </row>
        <row r="48">
          <cell r="B48" t="str">
            <v>Chlorobenzene</v>
          </cell>
          <cell r="E48">
            <v>50</v>
          </cell>
          <cell r="G48">
            <v>220</v>
          </cell>
          <cell r="I48">
            <v>220</v>
          </cell>
          <cell r="J48" t="str">
            <v/>
          </cell>
        </row>
        <row r="49">
          <cell r="B49" t="str">
            <v>1-Chloro-1,1-difluoroethane</v>
          </cell>
          <cell r="E49">
            <v>50000</v>
          </cell>
          <cell r="G49">
            <v>220000</v>
          </cell>
          <cell r="I49">
            <v>220000</v>
          </cell>
          <cell r="J49" t="str">
            <v/>
          </cell>
        </row>
        <row r="50">
          <cell r="B50" t="str">
            <v>Chlorodifluoromethane (Freon 22)</v>
          </cell>
          <cell r="E50">
            <v>50000</v>
          </cell>
          <cell r="G50">
            <v>220000</v>
          </cell>
          <cell r="I50">
            <v>220000</v>
          </cell>
          <cell r="J50" t="str">
            <v/>
          </cell>
        </row>
        <row r="51">
          <cell r="B51" t="str">
            <v>Chloroethane (Ethyl chloride)</v>
          </cell>
          <cell r="E51">
            <v>30000</v>
          </cell>
          <cell r="G51">
            <v>130000</v>
          </cell>
          <cell r="I51">
            <v>130000</v>
          </cell>
          <cell r="J51">
            <v>40000</v>
          </cell>
        </row>
        <row r="52">
          <cell r="B52" t="str">
            <v>Chloroform</v>
          </cell>
          <cell r="E52">
            <v>300</v>
          </cell>
          <cell r="G52">
            <v>1300</v>
          </cell>
          <cell r="I52">
            <v>1300</v>
          </cell>
          <cell r="J52">
            <v>490</v>
          </cell>
        </row>
        <row r="53">
          <cell r="B53" t="str">
            <v>Chloromethane (Methyl chloride)</v>
          </cell>
          <cell r="E53">
            <v>90</v>
          </cell>
          <cell r="G53">
            <v>400</v>
          </cell>
          <cell r="I53">
            <v>400</v>
          </cell>
          <cell r="J53">
            <v>1000</v>
          </cell>
        </row>
        <row r="54">
          <cell r="B54" t="str">
            <v>4-Chloro-o-phenylenediamine</v>
          </cell>
          <cell r="D54">
            <v>0.22</v>
          </cell>
          <cell r="E54" t="str">
            <v/>
          </cell>
          <cell r="F54">
            <v>5.7</v>
          </cell>
          <cell r="G54" t="str">
            <v/>
          </cell>
          <cell r="H54">
            <v>2.6</v>
          </cell>
          <cell r="I54" t="str">
            <v/>
          </cell>
          <cell r="J54" t="str">
            <v/>
          </cell>
        </row>
        <row r="55">
          <cell r="B55" t="str">
            <v>Chloropicrin</v>
          </cell>
          <cell r="D55" t="str">
            <v/>
          </cell>
          <cell r="E55">
            <v>0.4</v>
          </cell>
          <cell r="F55" t="str">
            <v/>
          </cell>
          <cell r="G55">
            <v>1.8</v>
          </cell>
          <cell r="H55" t="str">
            <v/>
          </cell>
          <cell r="I55">
            <v>1.8</v>
          </cell>
          <cell r="J55">
            <v>29</v>
          </cell>
        </row>
        <row r="56">
          <cell r="B56" t="str">
            <v>Chloroprene</v>
          </cell>
          <cell r="D56">
            <v>3.3E-3</v>
          </cell>
          <cell r="E56">
            <v>20</v>
          </cell>
          <cell r="F56">
            <v>8.6999999999999994E-2</v>
          </cell>
          <cell r="G56">
            <v>88</v>
          </cell>
          <cell r="H56">
            <v>0.04</v>
          </cell>
          <cell r="I56">
            <v>88</v>
          </cell>
          <cell r="J56" t="str">
            <v/>
          </cell>
        </row>
        <row r="57">
          <cell r="B57" t="str">
            <v>p-Chloro-o-toluidine</v>
          </cell>
          <cell r="D57">
            <v>1.2999999999999999E-2</v>
          </cell>
          <cell r="E57" t="str">
            <v/>
          </cell>
          <cell r="F57">
            <v>0.34</v>
          </cell>
          <cell r="G57" t="str">
            <v/>
          </cell>
          <cell r="H57">
            <v>0.16</v>
          </cell>
          <cell r="I57" t="str">
            <v/>
          </cell>
          <cell r="J57" t="str">
            <v/>
          </cell>
        </row>
        <row r="58">
          <cell r="B58" t="str">
            <v>Chromium VI, chromate and dichromate particulate</v>
          </cell>
          <cell r="C58" t="str">
            <v>c, d</v>
          </cell>
          <cell r="D58">
            <v>3.1000000000000001E-5</v>
          </cell>
          <cell r="E58">
            <v>8.3000000000000004E-2</v>
          </cell>
          <cell r="F58">
            <v>5.1999999999999995E-4</v>
          </cell>
          <cell r="G58">
            <v>0.88</v>
          </cell>
          <cell r="H58">
            <v>1E-3</v>
          </cell>
          <cell r="I58">
            <v>0.88</v>
          </cell>
          <cell r="J58">
            <v>0.3</v>
          </cell>
        </row>
        <row r="59">
          <cell r="B59" t="str">
            <v>Chromium VI, chromic acid aerosol mist</v>
          </cell>
          <cell r="C59" t="str">
            <v>c, d</v>
          </cell>
          <cell r="D59">
            <v>3.1000000000000001E-5</v>
          </cell>
          <cell r="E59">
            <v>2.0999999999999999E-3</v>
          </cell>
          <cell r="F59">
            <v>5.1999999999999995E-4</v>
          </cell>
          <cell r="G59">
            <v>2.1999999999999999E-2</v>
          </cell>
          <cell r="H59">
            <v>1E-3</v>
          </cell>
          <cell r="I59">
            <v>2.1999999999999999E-2</v>
          </cell>
          <cell r="J59">
            <v>5.0000000000000001E-3</v>
          </cell>
        </row>
        <row r="60">
          <cell r="B60" t="str">
            <v>Cobalt and compounds</v>
          </cell>
          <cell r="C60" t="str">
            <v>l</v>
          </cell>
          <cell r="D60" t="str">
            <v/>
          </cell>
          <cell r="E60">
            <v>0.1</v>
          </cell>
          <cell r="F60" t="str">
            <v/>
          </cell>
          <cell r="G60">
            <v>0.44</v>
          </cell>
          <cell r="H60" t="str">
            <v/>
          </cell>
          <cell r="I60">
            <v>0.44</v>
          </cell>
          <cell r="J60" t="str">
            <v/>
          </cell>
        </row>
        <row r="61">
          <cell r="B61" t="str">
            <v>Coke Oven Emissions</v>
          </cell>
          <cell r="C61" t="str">
            <v>g</v>
          </cell>
          <cell r="D61">
            <v>9.5E-4</v>
          </cell>
          <cell r="E61" t="str">
            <v/>
          </cell>
          <cell r="F61">
            <v>0.01</v>
          </cell>
          <cell r="G61" t="str">
            <v/>
          </cell>
          <cell r="H61">
            <v>1.9E-2</v>
          </cell>
          <cell r="I61" t="str">
            <v/>
          </cell>
          <cell r="J61" t="str">
            <v/>
          </cell>
        </row>
        <row r="62">
          <cell r="B62" t="str">
            <v>Copper and compounds</v>
          </cell>
          <cell r="C62" t="str">
            <v>l</v>
          </cell>
          <cell r="D62" t="str">
            <v/>
          </cell>
          <cell r="E62" t="str">
            <v/>
          </cell>
          <cell r="F62" t="str">
            <v/>
          </cell>
          <cell r="G62" t="str">
            <v/>
          </cell>
          <cell r="H62" t="str">
            <v/>
          </cell>
          <cell r="I62" t="str">
            <v/>
          </cell>
          <cell r="J62">
            <v>100</v>
          </cell>
        </row>
        <row r="63">
          <cell r="B63" t="str">
            <v>p-Cresidine</v>
          </cell>
          <cell r="D63">
            <v>2.3E-2</v>
          </cell>
          <cell r="E63" t="str">
            <v/>
          </cell>
          <cell r="F63">
            <v>0.6</v>
          </cell>
          <cell r="G63" t="str">
            <v/>
          </cell>
          <cell r="H63">
            <v>0.28000000000000003</v>
          </cell>
          <cell r="I63" t="str">
            <v/>
          </cell>
          <cell r="J63" t="str">
            <v/>
          </cell>
        </row>
        <row r="64">
          <cell r="B64" t="str">
            <v>Cresols (mixture), including m-cresol, o-cresol, p-cresol</v>
          </cell>
          <cell r="E64">
            <v>600</v>
          </cell>
          <cell r="F64" t="str">
            <v/>
          </cell>
          <cell r="G64">
            <v>2600</v>
          </cell>
          <cell r="H64" t="str">
            <v/>
          </cell>
          <cell r="I64">
            <v>2600</v>
          </cell>
          <cell r="J64" t="str">
            <v/>
          </cell>
        </row>
        <row r="65">
          <cell r="B65" t="str">
            <v>Cupferron</v>
          </cell>
          <cell r="D65">
            <v>1.6E-2</v>
          </cell>
          <cell r="E65" t="str">
            <v/>
          </cell>
          <cell r="F65">
            <v>0.41</v>
          </cell>
          <cell r="G65" t="str">
            <v/>
          </cell>
          <cell r="H65">
            <v>0.19</v>
          </cell>
          <cell r="I65" t="str">
            <v/>
          </cell>
          <cell r="J65" t="str">
            <v/>
          </cell>
        </row>
        <row r="66">
          <cell r="B66" t="str">
            <v>Cyanide, Hydrogen</v>
          </cell>
          <cell r="E66">
            <v>0.8</v>
          </cell>
          <cell r="F66" t="str">
            <v/>
          </cell>
          <cell r="G66">
            <v>3.5</v>
          </cell>
          <cell r="H66" t="str">
            <v/>
          </cell>
          <cell r="I66">
            <v>3.5</v>
          </cell>
          <cell r="J66">
            <v>340</v>
          </cell>
        </row>
        <row r="67">
          <cell r="B67" t="str">
            <v>Cyclohexane</v>
          </cell>
          <cell r="E67">
            <v>6000</v>
          </cell>
          <cell r="F67" t="str">
            <v/>
          </cell>
          <cell r="G67">
            <v>26000</v>
          </cell>
          <cell r="H67" t="str">
            <v/>
          </cell>
          <cell r="I67">
            <v>26000</v>
          </cell>
          <cell r="J67" t="str">
            <v/>
          </cell>
        </row>
        <row r="68">
          <cell r="B68" t="str">
            <v>DDT</v>
          </cell>
          <cell r="C68" t="str">
            <v>e</v>
          </cell>
          <cell r="D68">
            <v>0.01</v>
          </cell>
          <cell r="E68" t="str">
            <v/>
          </cell>
          <cell r="F68">
            <v>0.27</v>
          </cell>
          <cell r="G68" t="str">
            <v/>
          </cell>
          <cell r="H68">
            <v>0.12</v>
          </cell>
          <cell r="I68" t="str">
            <v/>
          </cell>
          <cell r="J68" t="str">
            <v/>
          </cell>
        </row>
        <row r="69">
          <cell r="B69" t="str">
            <v>2,4-Diaminoanisole</v>
          </cell>
          <cell r="D69">
            <v>0.15</v>
          </cell>
          <cell r="E69" t="str">
            <v/>
          </cell>
          <cell r="F69">
            <v>3.9</v>
          </cell>
          <cell r="G69" t="str">
            <v/>
          </cell>
          <cell r="H69">
            <v>1.8</v>
          </cell>
          <cell r="I69" t="str">
            <v/>
          </cell>
          <cell r="J69" t="str">
            <v/>
          </cell>
        </row>
        <row r="70">
          <cell r="B70" t="str">
            <v>2,4-Diaminotoluene (2,4-Toluene diamine)</v>
          </cell>
          <cell r="D70">
            <v>9.1E-4</v>
          </cell>
          <cell r="E70" t="str">
            <v/>
          </cell>
          <cell r="F70">
            <v>2.4E-2</v>
          </cell>
          <cell r="G70" t="str">
            <v/>
          </cell>
          <cell r="H70">
            <v>1.0999999999999999E-2</v>
          </cell>
          <cell r="I70" t="str">
            <v/>
          </cell>
          <cell r="J70" t="str">
            <v/>
          </cell>
        </row>
        <row r="71">
          <cell r="B71" t="str">
            <v>Diazinon</v>
          </cell>
          <cell r="E71" t="str">
            <v/>
          </cell>
          <cell r="F71" t="str">
            <v/>
          </cell>
          <cell r="G71" t="str">
            <v/>
          </cell>
          <cell r="H71" t="str">
            <v/>
          </cell>
          <cell r="I71" t="str">
            <v/>
          </cell>
          <cell r="J71">
            <v>10</v>
          </cell>
        </row>
        <row r="72">
          <cell r="B72" t="str">
            <v>1,2-Dibromo-3-chloropropane (DBCP)</v>
          </cell>
          <cell r="C72" t="str">
            <v>g</v>
          </cell>
          <cell r="D72">
            <v>9.8039215686274506E-5</v>
          </cell>
          <cell r="E72">
            <v>0.2</v>
          </cell>
          <cell r="F72">
            <v>1E-3</v>
          </cell>
          <cell r="G72">
            <v>0.88</v>
          </cell>
          <cell r="H72">
            <v>2E-3</v>
          </cell>
          <cell r="I72">
            <v>0.88</v>
          </cell>
          <cell r="J72">
            <v>1.9</v>
          </cell>
        </row>
        <row r="73">
          <cell r="B73" t="str">
            <v>p-Dichlorobenzene (1,4-Dichlorobenzene)</v>
          </cell>
          <cell r="D73">
            <v>9.0999999999999998E-2</v>
          </cell>
          <cell r="E73">
            <v>60</v>
          </cell>
          <cell r="F73">
            <v>2.4</v>
          </cell>
          <cell r="G73">
            <v>260</v>
          </cell>
          <cell r="H73">
            <v>1.1000000000000001</v>
          </cell>
          <cell r="I73">
            <v>260</v>
          </cell>
          <cell r="J73">
            <v>12000</v>
          </cell>
        </row>
        <row r="74">
          <cell r="B74" t="str">
            <v>3,3'-Dichlorobenzidine</v>
          </cell>
          <cell r="D74">
            <v>2.8999999999999998E-3</v>
          </cell>
          <cell r="E74" t="str">
            <v/>
          </cell>
          <cell r="F74">
            <v>7.5999999999999998E-2</v>
          </cell>
          <cell r="G74" t="str">
            <v/>
          </cell>
          <cell r="H74">
            <v>3.5000000000000003E-2</v>
          </cell>
          <cell r="I74" t="str">
            <v/>
          </cell>
          <cell r="J74" t="str">
            <v/>
          </cell>
        </row>
        <row r="75">
          <cell r="B75" t="str">
            <v>1,1-Dichloroethane (Ethylidene dichloride)</v>
          </cell>
          <cell r="D75">
            <v>0.63</v>
          </cell>
          <cell r="E75" t="str">
            <v/>
          </cell>
          <cell r="F75">
            <v>16</v>
          </cell>
          <cell r="G75" t="str">
            <v/>
          </cell>
          <cell r="H75">
            <v>7.5</v>
          </cell>
          <cell r="I75" t="str">
            <v/>
          </cell>
          <cell r="J75" t="str">
            <v/>
          </cell>
        </row>
        <row r="76">
          <cell r="B76" t="str">
            <v>trans-1,2-dichloroethene</v>
          </cell>
          <cell r="D76" t="str">
            <v/>
          </cell>
          <cell r="E76" t="str">
            <v/>
          </cell>
          <cell r="F76" t="str">
            <v/>
          </cell>
          <cell r="G76" t="str">
            <v/>
          </cell>
          <cell r="H76" t="str">
            <v/>
          </cell>
          <cell r="I76" t="str">
            <v/>
          </cell>
          <cell r="J76">
            <v>790</v>
          </cell>
        </row>
        <row r="77">
          <cell r="B77" t="str">
            <v>Dichloromethane (Methylene chloride)</v>
          </cell>
          <cell r="D77">
            <v>59</v>
          </cell>
          <cell r="E77">
            <v>600</v>
          </cell>
          <cell r="F77">
            <v>620</v>
          </cell>
          <cell r="G77">
            <v>2600</v>
          </cell>
          <cell r="H77">
            <v>1200</v>
          </cell>
          <cell r="I77">
            <v>2600</v>
          </cell>
          <cell r="J77">
            <v>2100</v>
          </cell>
        </row>
        <row r="78">
          <cell r="B78" t="str">
            <v>1,2-Dichloropropane (Propylene dichloride)</v>
          </cell>
          <cell r="D78" t="str">
            <v/>
          </cell>
          <cell r="E78">
            <v>4</v>
          </cell>
          <cell r="F78" t="str">
            <v/>
          </cell>
          <cell r="G78">
            <v>18</v>
          </cell>
          <cell r="H78" t="str">
            <v/>
          </cell>
          <cell r="I78">
            <v>18</v>
          </cell>
          <cell r="J78">
            <v>230</v>
          </cell>
        </row>
        <row r="79">
          <cell r="B79" t="str">
            <v>1,3-Dichloropropene</v>
          </cell>
          <cell r="D79">
            <v>0.25</v>
          </cell>
          <cell r="E79">
            <v>32</v>
          </cell>
          <cell r="F79">
            <v>6.5</v>
          </cell>
          <cell r="G79">
            <v>140</v>
          </cell>
          <cell r="H79">
            <v>3</v>
          </cell>
          <cell r="I79">
            <v>140</v>
          </cell>
          <cell r="J79">
            <v>36</v>
          </cell>
        </row>
        <row r="80">
          <cell r="B80" t="str">
            <v>Dichlorovos (DDVP)</v>
          </cell>
          <cell r="D80" t="str">
            <v/>
          </cell>
          <cell r="E80">
            <v>0.54</v>
          </cell>
          <cell r="F80" t="str">
            <v/>
          </cell>
          <cell r="G80">
            <v>2.4</v>
          </cell>
          <cell r="H80" t="str">
            <v/>
          </cell>
          <cell r="I80">
            <v>2.4</v>
          </cell>
          <cell r="J80">
            <v>18</v>
          </cell>
        </row>
        <row r="81">
          <cell r="B81" t="str">
            <v>Dieldrin</v>
          </cell>
          <cell r="D81">
            <v>2.2000000000000001E-4</v>
          </cell>
          <cell r="E81" t="str">
            <v/>
          </cell>
          <cell r="F81">
            <v>5.7000000000000002E-3</v>
          </cell>
          <cell r="G81" t="str">
            <v/>
          </cell>
          <cell r="H81">
            <v>2.5999999999999999E-3</v>
          </cell>
          <cell r="I81" t="str">
            <v/>
          </cell>
          <cell r="J81" t="str">
            <v/>
          </cell>
        </row>
        <row r="82">
          <cell r="B82" t="str">
            <v>Diesel Particulate Matter</v>
          </cell>
          <cell r="D82">
            <v>0.1</v>
          </cell>
          <cell r="E82">
            <v>5</v>
          </cell>
          <cell r="F82">
            <v>2.6</v>
          </cell>
          <cell r="G82">
            <v>22</v>
          </cell>
          <cell r="H82">
            <v>1.2</v>
          </cell>
          <cell r="I82">
            <v>22</v>
          </cell>
          <cell r="J82" t="str">
            <v/>
          </cell>
        </row>
        <row r="83">
          <cell r="B83" t="str">
            <v>Diethanolamine</v>
          </cell>
          <cell r="D83" t="str">
            <v/>
          </cell>
          <cell r="E83">
            <v>0.2</v>
          </cell>
          <cell r="F83" t="str">
            <v/>
          </cell>
          <cell r="G83">
            <v>0.88</v>
          </cell>
          <cell r="H83" t="str">
            <v/>
          </cell>
          <cell r="I83">
            <v>0.88</v>
          </cell>
          <cell r="J83" t="str">
            <v/>
          </cell>
        </row>
        <row r="84">
          <cell r="B84" t="str">
            <v>Diethylene glycol monobutyl ether</v>
          </cell>
          <cell r="D84" t="str">
            <v/>
          </cell>
          <cell r="E84">
            <v>0.1</v>
          </cell>
          <cell r="F84" t="str">
            <v/>
          </cell>
          <cell r="G84">
            <v>0.44</v>
          </cell>
          <cell r="H84" t="str">
            <v/>
          </cell>
          <cell r="I84">
            <v>0.44</v>
          </cell>
          <cell r="J84" t="str">
            <v/>
          </cell>
        </row>
        <row r="85">
          <cell r="B85" t="str">
            <v>Diethylene glycol monoethyl ether</v>
          </cell>
          <cell r="D85" t="str">
            <v/>
          </cell>
          <cell r="E85">
            <v>0.3</v>
          </cell>
          <cell r="F85" t="str">
            <v/>
          </cell>
          <cell r="G85">
            <v>1.3</v>
          </cell>
          <cell r="H85" t="str">
            <v/>
          </cell>
          <cell r="I85">
            <v>1.3</v>
          </cell>
          <cell r="J85" t="str">
            <v/>
          </cell>
        </row>
        <row r="86">
          <cell r="B86" t="str">
            <v>1,1-Difluoroethane</v>
          </cell>
          <cell r="D86" t="str">
            <v/>
          </cell>
          <cell r="E86">
            <v>40000</v>
          </cell>
          <cell r="F86" t="str">
            <v/>
          </cell>
          <cell r="G86">
            <v>180000</v>
          </cell>
          <cell r="H86" t="str">
            <v/>
          </cell>
          <cell r="I86">
            <v>180000</v>
          </cell>
          <cell r="J86" t="str">
            <v/>
          </cell>
        </row>
        <row r="87">
          <cell r="B87" t="str">
            <v>4-Dimethylaminoazobenzene</v>
          </cell>
          <cell r="D87">
            <v>7.6999999999999996E-4</v>
          </cell>
          <cell r="E87" t="str">
            <v/>
          </cell>
          <cell r="F87">
            <v>0.02</v>
          </cell>
          <cell r="G87" t="str">
            <v/>
          </cell>
          <cell r="H87">
            <v>9.1999999999999998E-3</v>
          </cell>
          <cell r="I87" t="str">
            <v/>
          </cell>
          <cell r="J87" t="str">
            <v/>
          </cell>
        </row>
        <row r="88">
          <cell r="B88" t="str">
            <v>Dimethyl formamide</v>
          </cell>
          <cell r="D88" t="str">
            <v/>
          </cell>
          <cell r="E88">
            <v>80</v>
          </cell>
          <cell r="F88" t="str">
            <v/>
          </cell>
          <cell r="G88">
            <v>350</v>
          </cell>
          <cell r="H88" t="str">
            <v/>
          </cell>
          <cell r="I88">
            <v>350</v>
          </cell>
          <cell r="J88" t="str">
            <v/>
          </cell>
        </row>
        <row r="89">
          <cell r="B89" t="str">
            <v>1,1-Dimethylhydrazine</v>
          </cell>
          <cell r="D89" t="str">
            <v/>
          </cell>
          <cell r="E89" t="str">
            <v/>
          </cell>
          <cell r="F89" t="str">
            <v/>
          </cell>
          <cell r="G89" t="str">
            <v/>
          </cell>
          <cell r="H89" t="str">
            <v/>
          </cell>
          <cell r="I89" t="str">
            <v/>
          </cell>
          <cell r="J89">
            <v>0.49</v>
          </cell>
        </row>
        <row r="90">
          <cell r="B90" t="str">
            <v>2,4-Dinitrotoluene</v>
          </cell>
          <cell r="D90">
            <v>1.0999999999999999E-2</v>
          </cell>
          <cell r="E90" t="str">
            <v/>
          </cell>
          <cell r="F90">
            <v>0.28999999999999998</v>
          </cell>
          <cell r="G90" t="str">
            <v/>
          </cell>
          <cell r="H90">
            <v>0.13</v>
          </cell>
          <cell r="I90" t="str">
            <v/>
          </cell>
          <cell r="J90" t="str">
            <v/>
          </cell>
        </row>
        <row r="91">
          <cell r="B91" t="str">
            <v>1,4-Dioxane</v>
          </cell>
          <cell r="D91">
            <v>0.2</v>
          </cell>
          <cell r="E91">
            <v>30</v>
          </cell>
          <cell r="F91">
            <v>5.2</v>
          </cell>
          <cell r="G91">
            <v>130</v>
          </cell>
          <cell r="H91">
            <v>2.4</v>
          </cell>
          <cell r="I91">
            <v>130</v>
          </cell>
          <cell r="J91">
            <v>7200</v>
          </cell>
        </row>
        <row r="92">
          <cell r="B92" t="str">
            <v>1,2-Diphenylhydrazine (Hydrazobenzene)</v>
          </cell>
          <cell r="D92">
            <v>4.4999999999999997E-3</v>
          </cell>
          <cell r="E92" t="str">
            <v/>
          </cell>
          <cell r="F92">
            <v>0.12</v>
          </cell>
          <cell r="G92" t="str">
            <v/>
          </cell>
          <cell r="H92">
            <v>5.5E-2</v>
          </cell>
          <cell r="I92" t="str">
            <v/>
          </cell>
          <cell r="J92" t="str">
            <v/>
          </cell>
        </row>
        <row r="93">
          <cell r="B93" t="str">
            <v>Direct Black 38</v>
          </cell>
          <cell r="D93">
            <v>7.1428571428571419E-6</v>
          </cell>
          <cell r="E93" t="str">
            <v/>
          </cell>
          <cell r="F93">
            <v>1.9000000000000001E-4</v>
          </cell>
          <cell r="G93" t="str">
            <v/>
          </cell>
          <cell r="H93">
            <v>8.5714285714285699E-5</v>
          </cell>
          <cell r="I93" t="str">
            <v/>
          </cell>
          <cell r="J93" t="str">
            <v/>
          </cell>
        </row>
        <row r="94">
          <cell r="B94" t="str">
            <v>Direct Blue 6</v>
          </cell>
          <cell r="D94">
            <v>7.1428571428571419E-6</v>
          </cell>
          <cell r="E94" t="str">
            <v/>
          </cell>
          <cell r="F94">
            <v>1.9000000000000001E-4</v>
          </cell>
          <cell r="G94" t="str">
            <v/>
          </cell>
          <cell r="H94">
            <v>8.5714285714285699E-5</v>
          </cell>
          <cell r="I94" t="str">
            <v/>
          </cell>
          <cell r="J94" t="str">
            <v/>
          </cell>
        </row>
        <row r="95">
          <cell r="B95" t="str">
            <v>Direct Brown 95 (technical grade)</v>
          </cell>
          <cell r="D95">
            <v>7.1428571428571419E-6</v>
          </cell>
          <cell r="E95" t="str">
            <v/>
          </cell>
          <cell r="F95">
            <v>1.9000000000000001E-4</v>
          </cell>
          <cell r="G95" t="str">
            <v/>
          </cell>
          <cell r="H95">
            <v>8.5714285714285699E-5</v>
          </cell>
          <cell r="I95" t="str">
            <v/>
          </cell>
          <cell r="J95" t="str">
            <v/>
          </cell>
        </row>
        <row r="96">
          <cell r="B96" t="str">
            <v>Disulfoton</v>
          </cell>
          <cell r="D96" t="str">
            <v/>
          </cell>
          <cell r="E96" t="str">
            <v/>
          </cell>
          <cell r="F96" t="str">
            <v/>
          </cell>
          <cell r="G96" t="str">
            <v/>
          </cell>
          <cell r="H96" t="str">
            <v/>
          </cell>
          <cell r="I96" t="str">
            <v/>
          </cell>
          <cell r="J96">
            <v>6</v>
          </cell>
        </row>
        <row r="97">
          <cell r="B97" t="str">
            <v>Epichlorohydrin</v>
          </cell>
          <cell r="D97">
            <v>4.2999999999999997E-2</v>
          </cell>
          <cell r="E97">
            <v>3</v>
          </cell>
          <cell r="F97">
            <v>1.1000000000000001</v>
          </cell>
          <cell r="G97">
            <v>13</v>
          </cell>
          <cell r="H97">
            <v>0.52</v>
          </cell>
          <cell r="I97">
            <v>13</v>
          </cell>
          <cell r="J97">
            <v>1300</v>
          </cell>
        </row>
        <row r="98">
          <cell r="B98" t="str">
            <v>1,2-Epoxybutane</v>
          </cell>
          <cell r="D98" t="str">
            <v/>
          </cell>
          <cell r="E98">
            <v>20</v>
          </cell>
          <cell r="F98" t="str">
            <v/>
          </cell>
          <cell r="G98">
            <v>88</v>
          </cell>
          <cell r="H98" t="str">
            <v/>
          </cell>
          <cell r="I98">
            <v>88</v>
          </cell>
          <cell r="J98" t="str">
            <v/>
          </cell>
        </row>
        <row r="99">
          <cell r="B99" t="str">
            <v>Ethyl acrylate</v>
          </cell>
          <cell r="D99" t="str">
            <v/>
          </cell>
          <cell r="E99">
            <v>8</v>
          </cell>
          <cell r="F99" t="str">
            <v/>
          </cell>
          <cell r="G99">
            <v>35</v>
          </cell>
          <cell r="H99" t="str">
            <v/>
          </cell>
          <cell r="I99">
            <v>35</v>
          </cell>
          <cell r="J99" t="str">
            <v/>
          </cell>
        </row>
        <row r="100">
          <cell r="B100" t="str">
            <v>Ethyl benzene</v>
          </cell>
          <cell r="D100">
            <v>0.4</v>
          </cell>
          <cell r="E100">
            <v>260</v>
          </cell>
          <cell r="F100">
            <v>10</v>
          </cell>
          <cell r="G100">
            <v>1100</v>
          </cell>
          <cell r="H100">
            <v>4.8</v>
          </cell>
          <cell r="I100">
            <v>1100</v>
          </cell>
          <cell r="J100">
            <v>22000</v>
          </cell>
        </row>
        <row r="101">
          <cell r="B101" t="str">
            <v>Ethylene dibromide (EDB, 1,2-Dibromoethane)</v>
          </cell>
          <cell r="D101">
            <v>1.6999999999999999E-3</v>
          </cell>
          <cell r="E101">
            <v>9</v>
          </cell>
          <cell r="F101">
            <v>4.2999999999999997E-2</v>
          </cell>
          <cell r="G101">
            <v>40</v>
          </cell>
          <cell r="H101">
            <v>0.02</v>
          </cell>
          <cell r="I101">
            <v>40</v>
          </cell>
          <cell r="J101" t="str">
            <v/>
          </cell>
        </row>
        <row r="102">
          <cell r="B102" t="str">
            <v>Ethylene dichloride (EDC, 1,2-Dichloroethane)</v>
          </cell>
          <cell r="D102">
            <v>3.7999999999999999E-2</v>
          </cell>
          <cell r="E102">
            <v>7</v>
          </cell>
          <cell r="F102">
            <v>1</v>
          </cell>
          <cell r="G102">
            <v>31</v>
          </cell>
          <cell r="H102">
            <v>0.46</v>
          </cell>
          <cell r="I102">
            <v>31</v>
          </cell>
          <cell r="J102" t="str">
            <v/>
          </cell>
        </row>
        <row r="103">
          <cell r="B103" t="str">
            <v>Ethylene glycol</v>
          </cell>
          <cell r="D103" t="str">
            <v/>
          </cell>
          <cell r="E103">
            <v>400</v>
          </cell>
          <cell r="F103" t="str">
            <v/>
          </cell>
          <cell r="G103">
            <v>1800</v>
          </cell>
          <cell r="H103" t="str">
            <v/>
          </cell>
          <cell r="I103">
            <v>1800</v>
          </cell>
          <cell r="J103">
            <v>2000</v>
          </cell>
        </row>
        <row r="104">
          <cell r="B104" t="str">
            <v>Ethylene glycol monobutyl ether</v>
          </cell>
          <cell r="D104" t="str">
            <v/>
          </cell>
          <cell r="E104">
            <v>82</v>
          </cell>
          <cell r="F104" t="str">
            <v/>
          </cell>
          <cell r="G104">
            <v>360</v>
          </cell>
          <cell r="H104" t="str">
            <v/>
          </cell>
          <cell r="I104">
            <v>360</v>
          </cell>
          <cell r="J104">
            <v>29000</v>
          </cell>
        </row>
        <row r="105">
          <cell r="B105" t="str">
            <v>Ethylene glycol monoethyl ether</v>
          </cell>
          <cell r="D105" t="str">
            <v/>
          </cell>
          <cell r="E105">
            <v>70</v>
          </cell>
          <cell r="F105" t="str">
            <v/>
          </cell>
          <cell r="G105">
            <v>310</v>
          </cell>
          <cell r="H105" t="str">
            <v/>
          </cell>
          <cell r="I105">
            <v>310</v>
          </cell>
          <cell r="J105">
            <v>370</v>
          </cell>
        </row>
        <row r="106">
          <cell r="B106" t="str">
            <v>Ethylene glycol monoethyl ether acetate</v>
          </cell>
          <cell r="D106" t="str">
            <v/>
          </cell>
          <cell r="E106">
            <v>60</v>
          </cell>
          <cell r="F106" t="str">
            <v/>
          </cell>
          <cell r="G106">
            <v>260</v>
          </cell>
          <cell r="H106" t="str">
            <v/>
          </cell>
          <cell r="I106">
            <v>260</v>
          </cell>
          <cell r="J106">
            <v>140</v>
          </cell>
        </row>
        <row r="107">
          <cell r="B107" t="str">
            <v>Ethylene glycol monomethyl ether</v>
          </cell>
          <cell r="D107" t="str">
            <v/>
          </cell>
          <cell r="E107">
            <v>60</v>
          </cell>
          <cell r="F107" t="str">
            <v/>
          </cell>
          <cell r="G107">
            <v>260</v>
          </cell>
          <cell r="H107" t="str">
            <v/>
          </cell>
          <cell r="I107">
            <v>260</v>
          </cell>
          <cell r="J107">
            <v>93</v>
          </cell>
        </row>
        <row r="108">
          <cell r="B108" t="str">
            <v>Ethylene glycol monomethyl ether acetate</v>
          </cell>
          <cell r="D108" t="str">
            <v/>
          </cell>
          <cell r="E108">
            <v>1</v>
          </cell>
          <cell r="F108" t="str">
            <v/>
          </cell>
          <cell r="G108">
            <v>4.4000000000000004</v>
          </cell>
          <cell r="H108" t="str">
            <v/>
          </cell>
          <cell r="I108">
            <v>4.4000000000000004</v>
          </cell>
          <cell r="J108" t="str">
            <v/>
          </cell>
        </row>
        <row r="109">
          <cell r="B109" t="str">
            <v>Ethylene oxide</v>
          </cell>
          <cell r="C109" t="str">
            <v>g</v>
          </cell>
          <cell r="D109">
            <v>2.0000000000000001E-4</v>
          </cell>
          <cell r="E109">
            <v>30</v>
          </cell>
          <cell r="F109">
            <v>2.0999999999999999E-3</v>
          </cell>
          <cell r="G109">
            <v>130</v>
          </cell>
          <cell r="H109">
            <v>4.0000000000000001E-3</v>
          </cell>
          <cell r="I109">
            <v>130</v>
          </cell>
          <cell r="J109">
            <v>160</v>
          </cell>
        </row>
        <row r="110">
          <cell r="B110" t="str">
            <v>Ethylene thiourea</v>
          </cell>
          <cell r="D110">
            <v>7.6999999999999999E-2</v>
          </cell>
          <cell r="E110" t="str">
            <v/>
          </cell>
          <cell r="F110">
            <v>2</v>
          </cell>
          <cell r="G110" t="str">
            <v/>
          </cell>
          <cell r="H110">
            <v>0.92</v>
          </cell>
          <cell r="I110" t="str">
            <v/>
          </cell>
          <cell r="J110" t="str">
            <v/>
          </cell>
        </row>
        <row r="111">
          <cell r="B111" t="str">
            <v>Fluorides</v>
          </cell>
          <cell r="C111" t="str">
            <v>c</v>
          </cell>
          <cell r="D111" t="str">
            <v/>
          </cell>
          <cell r="E111">
            <v>2.2999999999999998</v>
          </cell>
          <cell r="F111" t="str">
            <v/>
          </cell>
          <cell r="G111">
            <v>20</v>
          </cell>
          <cell r="H111" t="str">
            <v/>
          </cell>
          <cell r="I111">
            <v>20</v>
          </cell>
          <cell r="J111">
            <v>240</v>
          </cell>
        </row>
        <row r="112">
          <cell r="B112" t="str">
            <v>Fluorine gas</v>
          </cell>
          <cell r="D112" t="str">
            <v/>
          </cell>
          <cell r="E112" t="str">
            <v/>
          </cell>
          <cell r="F112" t="str">
            <v/>
          </cell>
          <cell r="G112" t="str">
            <v/>
          </cell>
          <cell r="H112" t="str">
            <v/>
          </cell>
          <cell r="I112" t="str">
            <v/>
          </cell>
          <cell r="J112">
            <v>16</v>
          </cell>
        </row>
        <row r="113">
          <cell r="B113" t="str">
            <v>Formaldehyde</v>
          </cell>
          <cell r="D113">
            <v>0.17</v>
          </cell>
          <cell r="E113">
            <v>9</v>
          </cell>
          <cell r="F113">
            <v>4.3</v>
          </cell>
          <cell r="G113">
            <v>40</v>
          </cell>
          <cell r="H113">
            <v>2</v>
          </cell>
          <cell r="I113">
            <v>40</v>
          </cell>
          <cell r="J113">
            <v>49</v>
          </cell>
        </row>
        <row r="114">
          <cell r="B114" t="str">
            <v>Glutaraldehyde</v>
          </cell>
          <cell r="D114" t="str">
            <v/>
          </cell>
          <cell r="E114">
            <v>0.08</v>
          </cell>
          <cell r="F114" t="str">
            <v/>
          </cell>
          <cell r="G114">
            <v>0.35</v>
          </cell>
          <cell r="H114" t="str">
            <v/>
          </cell>
          <cell r="I114">
            <v>0.35</v>
          </cell>
          <cell r="J114">
            <v>4.0999999999999996</v>
          </cell>
        </row>
        <row r="115">
          <cell r="B115" t="str">
            <v>Heptachlor</v>
          </cell>
          <cell r="D115">
            <v>7.6999999999999996E-4</v>
          </cell>
          <cell r="E115" t="str">
            <v/>
          </cell>
          <cell r="F115">
            <v>0.02</v>
          </cell>
          <cell r="G115" t="str">
            <v/>
          </cell>
          <cell r="H115">
            <v>9.1999999999999998E-3</v>
          </cell>
          <cell r="I115" t="str">
            <v/>
          </cell>
          <cell r="J115" t="str">
            <v/>
          </cell>
        </row>
        <row r="116">
          <cell r="B116" t="str">
            <v>Heptachlor epoxide</v>
          </cell>
          <cell r="D116">
            <v>3.8000000000000002E-4</v>
          </cell>
          <cell r="E116" t="str">
            <v/>
          </cell>
          <cell r="F116">
            <v>0.01</v>
          </cell>
          <cell r="G116" t="str">
            <v/>
          </cell>
          <cell r="H116">
            <v>4.5999999999999999E-3</v>
          </cell>
          <cell r="I116" t="str">
            <v/>
          </cell>
          <cell r="J116" t="str">
            <v/>
          </cell>
        </row>
        <row r="117">
          <cell r="B117" t="str">
            <v>Hexachlorobenzene</v>
          </cell>
          <cell r="D117">
            <v>2E-3</v>
          </cell>
          <cell r="E117" t="str">
            <v/>
          </cell>
          <cell r="F117">
            <v>5.0999999999999997E-2</v>
          </cell>
          <cell r="G117" t="str">
            <v/>
          </cell>
          <cell r="H117">
            <v>2.4E-2</v>
          </cell>
          <cell r="I117" t="str">
            <v/>
          </cell>
          <cell r="J117" t="str">
            <v/>
          </cell>
        </row>
        <row r="118">
          <cell r="B118" t="str">
            <v>Hexachlorobutadiene</v>
          </cell>
          <cell r="D118">
            <v>4.4999999999999998E-2</v>
          </cell>
          <cell r="E118" t="str">
            <v/>
          </cell>
          <cell r="F118">
            <v>1.2</v>
          </cell>
          <cell r="G118" t="str">
            <v/>
          </cell>
          <cell r="H118">
            <v>0.55000000000000004</v>
          </cell>
          <cell r="I118" t="str">
            <v/>
          </cell>
          <cell r="J118" t="str">
            <v/>
          </cell>
        </row>
        <row r="119">
          <cell r="B119" t="str">
            <v>Hexachlorocyclohexanes (mixture) including but not limited to:</v>
          </cell>
          <cell r="C119" t="str">
            <v>c</v>
          </cell>
          <cell r="D119">
            <v>1.7000000000000001E-4</v>
          </cell>
          <cell r="E119" t="str">
            <v/>
          </cell>
          <cell r="F119">
            <v>1.7999999999999999E-2</v>
          </cell>
          <cell r="G119" t="str">
            <v/>
          </cell>
          <cell r="H119">
            <v>8.3999999999999995E-3</v>
          </cell>
          <cell r="I119" t="str">
            <v/>
          </cell>
          <cell r="J119" t="str">
            <v/>
          </cell>
        </row>
        <row r="120">
          <cell r="B120" t="str">
            <v>Hexachlorocyclohexane, alpha-</v>
          </cell>
          <cell r="C120" t="str">
            <v>c</v>
          </cell>
          <cell r="D120">
            <v>1.7000000000000001E-4</v>
          </cell>
          <cell r="E120" t="str">
            <v/>
          </cell>
          <cell r="F120">
            <v>1.7999999999999999E-2</v>
          </cell>
          <cell r="G120" t="str">
            <v/>
          </cell>
          <cell r="H120">
            <v>8.3999999999999995E-3</v>
          </cell>
          <cell r="I120" t="str">
            <v/>
          </cell>
          <cell r="J120" t="str">
            <v/>
          </cell>
        </row>
        <row r="121">
          <cell r="B121" t="str">
            <v>Hexachlorocyclohexane, beta-</v>
          </cell>
          <cell r="C121" t="str">
            <v>c</v>
          </cell>
          <cell r="D121">
            <v>1.7000000000000001E-4</v>
          </cell>
          <cell r="E121" t="str">
            <v/>
          </cell>
          <cell r="F121">
            <v>1.7999999999999999E-2</v>
          </cell>
          <cell r="G121" t="str">
            <v/>
          </cell>
          <cell r="H121">
            <v>8.3999999999999995E-3</v>
          </cell>
          <cell r="I121" t="str">
            <v/>
          </cell>
          <cell r="J121" t="str">
            <v/>
          </cell>
        </row>
        <row r="122">
          <cell r="B122" t="str">
            <v>Hexachlorocyclohexane, gamma- (Lindane)</v>
          </cell>
          <cell r="C122" t="str">
            <v>c</v>
          </cell>
          <cell r="D122">
            <v>5.9999999999999995E-4</v>
          </cell>
          <cell r="E122" t="str">
            <v/>
          </cell>
          <cell r="F122">
            <v>6.5000000000000002E-2</v>
          </cell>
          <cell r="G122" t="str">
            <v/>
          </cell>
          <cell r="H122">
            <v>0.03</v>
          </cell>
          <cell r="I122" t="str">
            <v/>
          </cell>
          <cell r="J122" t="str">
            <v/>
          </cell>
        </row>
        <row r="123">
          <cell r="B123" t="str">
            <v>Hexachlorocyclopentadiene</v>
          </cell>
          <cell r="D123" t="str">
            <v/>
          </cell>
          <cell r="E123">
            <v>0.2</v>
          </cell>
          <cell r="F123" t="str">
            <v/>
          </cell>
          <cell r="G123">
            <v>0.88</v>
          </cell>
          <cell r="H123" t="str">
            <v/>
          </cell>
          <cell r="I123">
            <v>0.88</v>
          </cell>
          <cell r="J123">
            <v>110</v>
          </cell>
        </row>
        <row r="124">
          <cell r="B124" t="str">
            <v>Hexachloroethane</v>
          </cell>
          <cell r="D124" t="str">
            <v/>
          </cell>
          <cell r="E124">
            <v>30</v>
          </cell>
          <cell r="F124" t="str">
            <v/>
          </cell>
          <cell r="G124">
            <v>130</v>
          </cell>
          <cell r="H124" t="str">
            <v/>
          </cell>
          <cell r="I124">
            <v>130</v>
          </cell>
          <cell r="J124">
            <v>58000</v>
          </cell>
        </row>
        <row r="125">
          <cell r="B125" t="str">
            <v>Hexamethylene-1,6-diisocyanate</v>
          </cell>
          <cell r="D125" t="str">
            <v/>
          </cell>
          <cell r="E125">
            <v>6.9000000000000006E-2</v>
          </cell>
          <cell r="F125" t="str">
            <v/>
          </cell>
          <cell r="G125">
            <v>0.3</v>
          </cell>
          <cell r="H125" t="str">
            <v/>
          </cell>
          <cell r="I125">
            <v>0.3</v>
          </cell>
          <cell r="J125">
            <v>0.21</v>
          </cell>
        </row>
        <row r="126">
          <cell r="B126" t="str">
            <v>Hexane</v>
          </cell>
          <cell r="D126" t="str">
            <v/>
          </cell>
          <cell r="E126">
            <v>700</v>
          </cell>
          <cell r="F126" t="str">
            <v/>
          </cell>
          <cell r="G126">
            <v>3100</v>
          </cell>
          <cell r="H126" t="str">
            <v/>
          </cell>
          <cell r="I126">
            <v>3100</v>
          </cell>
          <cell r="J126" t="str">
            <v/>
          </cell>
        </row>
        <row r="127">
          <cell r="B127" t="str">
            <v>Hydrazine</v>
          </cell>
          <cell r="D127">
            <v>2.0000000000000001E-4</v>
          </cell>
          <cell r="E127">
            <v>0.03</v>
          </cell>
          <cell r="F127">
            <v>5.3E-3</v>
          </cell>
          <cell r="G127">
            <v>0.13</v>
          </cell>
          <cell r="H127">
            <v>2.3999999999999998E-3</v>
          </cell>
          <cell r="I127">
            <v>0.13</v>
          </cell>
          <cell r="J127">
            <v>5.2</v>
          </cell>
        </row>
        <row r="128">
          <cell r="B128" t="str">
            <v>Hydrochloric acid</v>
          </cell>
          <cell r="D128" t="str">
            <v/>
          </cell>
          <cell r="E128">
            <v>20</v>
          </cell>
          <cell r="F128" t="str">
            <v/>
          </cell>
          <cell r="G128">
            <v>88</v>
          </cell>
          <cell r="H128" t="str">
            <v/>
          </cell>
          <cell r="I128">
            <v>88</v>
          </cell>
          <cell r="J128">
            <v>2100</v>
          </cell>
        </row>
        <row r="129">
          <cell r="B129" t="str">
            <v>Hydrogen fluoride</v>
          </cell>
          <cell r="C129" t="str">
            <v>c</v>
          </cell>
          <cell r="D129" t="str">
            <v/>
          </cell>
          <cell r="E129">
            <v>2.1</v>
          </cell>
          <cell r="F129" t="str">
            <v/>
          </cell>
          <cell r="G129">
            <v>19</v>
          </cell>
          <cell r="H129" t="str">
            <v/>
          </cell>
          <cell r="I129">
            <v>19</v>
          </cell>
          <cell r="J129">
            <v>16</v>
          </cell>
        </row>
        <row r="130">
          <cell r="B130" t="str">
            <v>Hydrogen sulfide</v>
          </cell>
          <cell r="D130" t="str">
            <v/>
          </cell>
          <cell r="E130">
            <v>2</v>
          </cell>
          <cell r="F130" t="str">
            <v/>
          </cell>
          <cell r="G130">
            <v>8.8000000000000007</v>
          </cell>
          <cell r="H130" t="str">
            <v/>
          </cell>
          <cell r="I130">
            <v>8.8000000000000007</v>
          </cell>
          <cell r="J130">
            <v>98</v>
          </cell>
        </row>
        <row r="131">
          <cell r="B131" t="str">
            <v>Isophorone</v>
          </cell>
          <cell r="D131" t="str">
            <v/>
          </cell>
          <cell r="E131">
            <v>2000</v>
          </cell>
          <cell r="F131" t="str">
            <v/>
          </cell>
          <cell r="G131">
            <v>8800</v>
          </cell>
          <cell r="H131" t="str">
            <v/>
          </cell>
          <cell r="I131">
            <v>8800</v>
          </cell>
          <cell r="J131" t="str">
            <v/>
          </cell>
        </row>
        <row r="132">
          <cell r="B132" t="str">
            <v>Isopropyl alcohol</v>
          </cell>
          <cell r="D132" t="str">
            <v/>
          </cell>
          <cell r="E132">
            <v>200</v>
          </cell>
          <cell r="F132" t="str">
            <v/>
          </cell>
          <cell r="G132">
            <v>880</v>
          </cell>
          <cell r="H132" t="str">
            <v/>
          </cell>
          <cell r="I132">
            <v>880</v>
          </cell>
          <cell r="J132">
            <v>3200</v>
          </cell>
        </row>
        <row r="133">
          <cell r="B133" t="str">
            <v>Isopropylbenzene (Cumene)</v>
          </cell>
          <cell r="D133" t="str">
            <v/>
          </cell>
          <cell r="E133">
            <v>400</v>
          </cell>
          <cell r="F133" t="str">
            <v/>
          </cell>
          <cell r="G133">
            <v>1800</v>
          </cell>
          <cell r="H133" t="str">
            <v/>
          </cell>
          <cell r="I133">
            <v>1800</v>
          </cell>
          <cell r="J133" t="str">
            <v/>
          </cell>
        </row>
        <row r="134">
          <cell r="B134" t="str">
            <v>Lead and compounds</v>
          </cell>
          <cell r="C134" t="str">
            <v>c, l</v>
          </cell>
          <cell r="D134" t="str">
            <v/>
          </cell>
          <cell r="E134">
            <v>0.15</v>
          </cell>
          <cell r="F134" t="str">
            <v/>
          </cell>
          <cell r="G134">
            <v>0.66</v>
          </cell>
          <cell r="H134" t="str">
            <v/>
          </cell>
          <cell r="I134">
            <v>0.66</v>
          </cell>
          <cell r="J134">
            <v>0.15</v>
          </cell>
        </row>
        <row r="135">
          <cell r="B135" t="str">
            <v>Maleic anhydride</v>
          </cell>
          <cell r="D135" t="str">
            <v/>
          </cell>
          <cell r="E135">
            <v>0.7</v>
          </cell>
          <cell r="F135" t="str">
            <v/>
          </cell>
          <cell r="G135">
            <v>3.1</v>
          </cell>
          <cell r="H135" t="str">
            <v/>
          </cell>
          <cell r="I135">
            <v>3.1</v>
          </cell>
          <cell r="J135" t="str">
            <v/>
          </cell>
        </row>
        <row r="136">
          <cell r="B136" t="str">
            <v>Manganese and compounds</v>
          </cell>
          <cell r="C136" t="str">
            <v>l</v>
          </cell>
          <cell r="D136" t="str">
            <v/>
          </cell>
          <cell r="E136">
            <v>0.09</v>
          </cell>
          <cell r="F136" t="str">
            <v/>
          </cell>
          <cell r="G136">
            <v>0.4</v>
          </cell>
          <cell r="H136" t="str">
            <v/>
          </cell>
          <cell r="I136">
            <v>0.4</v>
          </cell>
          <cell r="J136">
            <v>0.3</v>
          </cell>
        </row>
        <row r="137">
          <cell r="B137" t="str">
            <v>Mercury and compounds</v>
          </cell>
          <cell r="C137" t="str">
            <v>c, l</v>
          </cell>
          <cell r="D137" t="str">
            <v/>
          </cell>
          <cell r="E137">
            <v>7.6999999999999999E-2</v>
          </cell>
          <cell r="F137" t="str">
            <v/>
          </cell>
          <cell r="G137">
            <v>0.63</v>
          </cell>
          <cell r="H137" t="str">
            <v/>
          </cell>
          <cell r="I137">
            <v>0.63</v>
          </cell>
          <cell r="J137">
            <v>0.6</v>
          </cell>
        </row>
        <row r="138">
          <cell r="B138" t="str">
            <v>Methanol</v>
          </cell>
          <cell r="D138" t="str">
            <v/>
          </cell>
          <cell r="E138">
            <v>4000</v>
          </cell>
          <cell r="F138" t="str">
            <v/>
          </cell>
          <cell r="G138">
            <v>18000</v>
          </cell>
          <cell r="H138" t="str">
            <v/>
          </cell>
          <cell r="I138">
            <v>18000</v>
          </cell>
          <cell r="J138">
            <v>28000</v>
          </cell>
        </row>
        <row r="139">
          <cell r="B139" t="str">
            <v>4,4'-Methylene bis(2-chloroaniline) (MOCA)</v>
          </cell>
          <cell r="D139">
            <v>2.3E-3</v>
          </cell>
          <cell r="E139" t="str">
            <v/>
          </cell>
          <cell r="F139">
            <v>0.06</v>
          </cell>
          <cell r="G139" t="str">
            <v/>
          </cell>
          <cell r="H139">
            <v>2.8000000000000001E-2</v>
          </cell>
          <cell r="I139" t="str">
            <v/>
          </cell>
          <cell r="J139" t="str">
            <v/>
          </cell>
        </row>
        <row r="140">
          <cell r="B140" t="str">
            <v>4,4'-Methylenedianiline (and its dichloride)</v>
          </cell>
          <cell r="D140">
            <v>2.9999999999999997E-4</v>
          </cell>
          <cell r="E140">
            <v>20</v>
          </cell>
          <cell r="F140">
            <v>2.3E-2</v>
          </cell>
          <cell r="G140">
            <v>88</v>
          </cell>
          <cell r="H140">
            <v>0.01</v>
          </cell>
          <cell r="I140">
            <v>88</v>
          </cell>
          <cell r="J140" t="str">
            <v/>
          </cell>
        </row>
        <row r="141">
          <cell r="B141" t="str">
            <v>Methylene diphenyl diisocyanate (MDI)</v>
          </cell>
          <cell r="D141" t="str">
            <v/>
          </cell>
          <cell r="E141">
            <v>0.08</v>
          </cell>
          <cell r="F141" t="str">
            <v/>
          </cell>
          <cell r="G141">
            <v>0.35</v>
          </cell>
          <cell r="H141" t="str">
            <v/>
          </cell>
          <cell r="I141">
            <v>0.35</v>
          </cell>
          <cell r="J141">
            <v>12</v>
          </cell>
        </row>
        <row r="142">
          <cell r="B142" t="str">
            <v>Methyl isobutyl ketone (MIBK, Hexone)</v>
          </cell>
          <cell r="D142" t="str">
            <v/>
          </cell>
          <cell r="E142">
            <v>3000</v>
          </cell>
          <cell r="F142" t="str">
            <v/>
          </cell>
          <cell r="G142">
            <v>13000</v>
          </cell>
          <cell r="H142" t="str">
            <v/>
          </cell>
          <cell r="I142">
            <v>13000</v>
          </cell>
          <cell r="J142" t="str">
            <v/>
          </cell>
        </row>
        <row r="143">
          <cell r="B143" t="str">
            <v>Methyl isocyanate</v>
          </cell>
          <cell r="D143" t="str">
            <v/>
          </cell>
          <cell r="E143">
            <v>1</v>
          </cell>
          <cell r="F143" t="str">
            <v/>
          </cell>
          <cell r="G143">
            <v>4.4000000000000004</v>
          </cell>
          <cell r="H143" t="str">
            <v/>
          </cell>
          <cell r="I143">
            <v>4.4000000000000004</v>
          </cell>
          <cell r="J143" t="str">
            <v/>
          </cell>
        </row>
        <row r="144">
          <cell r="B144" t="str">
            <v>Methyl methacrylate</v>
          </cell>
          <cell r="D144" t="str">
            <v/>
          </cell>
          <cell r="E144">
            <v>700</v>
          </cell>
          <cell r="F144" t="str">
            <v/>
          </cell>
          <cell r="G144">
            <v>3100</v>
          </cell>
          <cell r="H144" t="str">
            <v/>
          </cell>
          <cell r="I144">
            <v>3100</v>
          </cell>
          <cell r="J144" t="str">
            <v/>
          </cell>
        </row>
        <row r="145">
          <cell r="B145" t="str">
            <v>Methyl tert-butyl ether</v>
          </cell>
          <cell r="D145">
            <v>3.8</v>
          </cell>
          <cell r="E145">
            <v>8000</v>
          </cell>
          <cell r="F145">
            <v>100</v>
          </cell>
          <cell r="G145">
            <v>35000</v>
          </cell>
          <cell r="H145">
            <v>46</v>
          </cell>
          <cell r="I145">
            <v>35000</v>
          </cell>
          <cell r="J145">
            <v>8000</v>
          </cell>
        </row>
        <row r="146">
          <cell r="B146" t="str">
            <v>Michler's ketone</v>
          </cell>
          <cell r="D146">
            <v>4.0000000000000001E-3</v>
          </cell>
          <cell r="E146" t="str">
            <v/>
          </cell>
          <cell r="F146">
            <v>0.1</v>
          </cell>
          <cell r="G146" t="str">
            <v/>
          </cell>
          <cell r="H146">
            <v>4.8000000000000001E-2</v>
          </cell>
          <cell r="I146" t="str">
            <v/>
          </cell>
          <cell r="J146" t="str">
            <v/>
          </cell>
        </row>
        <row r="147">
          <cell r="B147" t="str">
            <v>Naphthalene</v>
          </cell>
          <cell r="C147" t="str">
            <v>c</v>
          </cell>
          <cell r="D147">
            <v>2.9000000000000001E-2</v>
          </cell>
          <cell r="E147">
            <v>3.7</v>
          </cell>
          <cell r="F147">
            <v>0.76</v>
          </cell>
          <cell r="G147">
            <v>16</v>
          </cell>
          <cell r="H147">
            <v>0.35</v>
          </cell>
          <cell r="I147">
            <v>16</v>
          </cell>
          <cell r="J147">
            <v>200</v>
          </cell>
        </row>
        <row r="148">
          <cell r="B148" t="str">
            <v>Nickel compounds, insoluble</v>
          </cell>
          <cell r="C148" t="str">
            <v>f</v>
          </cell>
          <cell r="D148">
            <v>3.8E-3</v>
          </cell>
          <cell r="E148">
            <v>1.4E-2</v>
          </cell>
          <cell r="F148">
            <v>0.1</v>
          </cell>
          <cell r="G148">
            <v>6.2E-2</v>
          </cell>
          <cell r="H148">
            <v>4.5999999999999999E-2</v>
          </cell>
          <cell r="I148">
            <v>6.2E-2</v>
          </cell>
          <cell r="J148">
            <v>0.2</v>
          </cell>
        </row>
        <row r="149">
          <cell r="B149" t="str">
            <v>Nickel compounds, soluble</v>
          </cell>
          <cell r="C149" t="str">
            <v>f</v>
          </cell>
          <cell r="D149" t="str">
            <v/>
          </cell>
          <cell r="E149">
            <v>1.4E-2</v>
          </cell>
          <cell r="F149" t="str">
            <v/>
          </cell>
          <cell r="G149">
            <v>6.2E-2</v>
          </cell>
          <cell r="H149" t="str">
            <v/>
          </cell>
          <cell r="I149">
            <v>6.2E-2</v>
          </cell>
          <cell r="J149">
            <v>0.2</v>
          </cell>
        </row>
        <row r="150">
          <cell r="B150" t="str">
            <v>Nitric acid</v>
          </cell>
          <cell r="D150" t="str">
            <v/>
          </cell>
          <cell r="E150" t="str">
            <v/>
          </cell>
          <cell r="F150" t="str">
            <v/>
          </cell>
          <cell r="G150" t="str">
            <v/>
          </cell>
          <cell r="H150" t="str">
            <v/>
          </cell>
          <cell r="I150" t="str">
            <v/>
          </cell>
          <cell r="J150">
            <v>86</v>
          </cell>
        </row>
        <row r="151">
          <cell r="B151" t="str">
            <v>Nitrobenzene</v>
          </cell>
          <cell r="D151">
            <v>2.5000000000000001E-2</v>
          </cell>
          <cell r="E151">
            <v>9</v>
          </cell>
          <cell r="F151">
            <v>0.65</v>
          </cell>
          <cell r="G151">
            <v>40</v>
          </cell>
          <cell r="H151">
            <v>0.3</v>
          </cell>
          <cell r="I151">
            <v>40</v>
          </cell>
          <cell r="J151" t="str">
            <v/>
          </cell>
        </row>
        <row r="152">
          <cell r="B152" t="str">
            <v>2-Nitropropane</v>
          </cell>
          <cell r="D152" t="str">
            <v/>
          </cell>
          <cell r="E152">
            <v>20</v>
          </cell>
          <cell r="F152" t="str">
            <v/>
          </cell>
          <cell r="G152">
            <v>88</v>
          </cell>
          <cell r="H152" t="str">
            <v/>
          </cell>
          <cell r="I152">
            <v>88</v>
          </cell>
          <cell r="J152" t="str">
            <v/>
          </cell>
        </row>
        <row r="153">
          <cell r="B153" t="str">
            <v>N-Nitrosodi-n-butylamine</v>
          </cell>
          <cell r="D153">
            <v>3.2000000000000003E-4</v>
          </cell>
          <cell r="E153" t="str">
            <v/>
          </cell>
          <cell r="F153">
            <v>8.3999999999999995E-3</v>
          </cell>
          <cell r="G153" t="str">
            <v/>
          </cell>
          <cell r="H153">
            <v>3.8999999999999998E-3</v>
          </cell>
          <cell r="I153" t="str">
            <v/>
          </cell>
          <cell r="J153" t="str">
            <v/>
          </cell>
        </row>
        <row r="154">
          <cell r="B154" t="str">
            <v>N-Nitrosodiethylamine</v>
          </cell>
          <cell r="C154" t="str">
            <v>g</v>
          </cell>
          <cell r="D154">
            <v>5.8823529411764701E-5</v>
          </cell>
          <cell r="E154" t="str">
            <v/>
          </cell>
          <cell r="F154">
            <v>6.2E-4</v>
          </cell>
          <cell r="G154" t="str">
            <v/>
          </cell>
          <cell r="H154">
            <v>1.1999999999999999E-3</v>
          </cell>
          <cell r="I154" t="str">
            <v/>
          </cell>
          <cell r="J154" t="str">
            <v/>
          </cell>
        </row>
        <row r="155">
          <cell r="B155" t="str">
            <v>N-Nitrosodimethylamine</v>
          </cell>
          <cell r="C155" t="str">
            <v>g</v>
          </cell>
          <cell r="D155">
            <v>1.2999999999999999E-4</v>
          </cell>
          <cell r="E155" t="str">
            <v/>
          </cell>
          <cell r="F155">
            <v>1.2999999999999999E-3</v>
          </cell>
          <cell r="G155" t="str">
            <v/>
          </cell>
          <cell r="H155">
            <v>2.5999999999999999E-3</v>
          </cell>
          <cell r="I155" t="str">
            <v/>
          </cell>
          <cell r="J155" t="str">
            <v/>
          </cell>
        </row>
        <row r="156">
          <cell r="B156" t="str">
            <v>N-Nitrosodiphenylamine</v>
          </cell>
          <cell r="D156">
            <v>0.38</v>
          </cell>
          <cell r="E156" t="str">
            <v/>
          </cell>
          <cell r="F156">
            <v>10</v>
          </cell>
          <cell r="G156" t="str">
            <v/>
          </cell>
          <cell r="H156">
            <v>4.5999999999999996</v>
          </cell>
          <cell r="I156" t="str">
            <v/>
          </cell>
          <cell r="J156" t="str">
            <v/>
          </cell>
        </row>
        <row r="157">
          <cell r="B157" t="str">
            <v>p-Nitrosodiphenylamine</v>
          </cell>
          <cell r="D157">
            <v>0.16</v>
          </cell>
          <cell r="E157" t="str">
            <v/>
          </cell>
          <cell r="F157">
            <v>4.0999999999999996</v>
          </cell>
          <cell r="G157" t="str">
            <v/>
          </cell>
          <cell r="H157">
            <v>1.9</v>
          </cell>
          <cell r="I157" t="str">
            <v/>
          </cell>
          <cell r="J157" t="str">
            <v/>
          </cell>
        </row>
        <row r="158">
          <cell r="B158" t="str">
            <v>N-Nitrosodi-n-propylamine</v>
          </cell>
          <cell r="D158">
            <v>5.0000000000000001E-4</v>
          </cell>
          <cell r="E158" t="str">
            <v/>
          </cell>
          <cell r="F158">
            <v>1.2999999999999999E-2</v>
          </cell>
          <cell r="G158" t="str">
            <v/>
          </cell>
          <cell r="H158">
            <v>6.0000000000000001E-3</v>
          </cell>
          <cell r="I158" t="str">
            <v/>
          </cell>
          <cell r="J158" t="str">
            <v/>
          </cell>
        </row>
        <row r="159">
          <cell r="B159" t="str">
            <v>N-Nitrosomethylethylamine</v>
          </cell>
          <cell r="D159">
            <v>1.6000000000000001E-4</v>
          </cell>
          <cell r="E159" t="str">
            <v/>
          </cell>
          <cell r="F159">
            <v>4.1000000000000003E-3</v>
          </cell>
          <cell r="G159" t="str">
            <v/>
          </cell>
          <cell r="H159">
            <v>1.9E-3</v>
          </cell>
          <cell r="I159" t="str">
            <v/>
          </cell>
          <cell r="J159" t="str">
            <v/>
          </cell>
        </row>
        <row r="160">
          <cell r="B160" t="str">
            <v>N-Nitrosomorpholine</v>
          </cell>
          <cell r="D160">
            <v>5.2999999999999998E-4</v>
          </cell>
          <cell r="E160" t="str">
            <v/>
          </cell>
          <cell r="F160">
            <v>1.4E-2</v>
          </cell>
          <cell r="G160" t="str">
            <v/>
          </cell>
          <cell r="H160">
            <v>6.3E-3</v>
          </cell>
          <cell r="I160" t="str">
            <v/>
          </cell>
          <cell r="J160" t="str">
            <v/>
          </cell>
        </row>
        <row r="161">
          <cell r="B161" t="str">
            <v>N-Nitrosopiperidine</v>
          </cell>
          <cell r="D161">
            <v>3.6999999999999999E-4</v>
          </cell>
          <cell r="E161" t="str">
            <v/>
          </cell>
          <cell r="F161">
            <v>9.5999999999999992E-3</v>
          </cell>
          <cell r="G161" t="str">
            <v/>
          </cell>
          <cell r="H161">
            <v>4.4000000000000003E-3</v>
          </cell>
          <cell r="I161" t="str">
            <v/>
          </cell>
          <cell r="J161" t="str">
            <v/>
          </cell>
        </row>
        <row r="162">
          <cell r="B162" t="str">
            <v>N-Nitrosopyrrolidine</v>
          </cell>
          <cell r="D162">
            <v>1.6999999999999999E-3</v>
          </cell>
          <cell r="E162" t="str">
            <v/>
          </cell>
          <cell r="F162">
            <v>4.2999999999999997E-2</v>
          </cell>
          <cell r="G162" t="str">
            <v/>
          </cell>
          <cell r="H162">
            <v>0.02</v>
          </cell>
          <cell r="I162" t="str">
            <v/>
          </cell>
          <cell r="J162" t="str">
            <v/>
          </cell>
        </row>
        <row r="163">
          <cell r="B163" t="str">
            <v>Oleum</v>
          </cell>
          <cell r="D163" t="str">
            <v/>
          </cell>
          <cell r="E163" t="str">
            <v/>
          </cell>
          <cell r="F163" t="str">
            <v/>
          </cell>
          <cell r="G163" t="str">
            <v/>
          </cell>
          <cell r="H163" t="str">
            <v/>
          </cell>
          <cell r="I163" t="str">
            <v/>
          </cell>
          <cell r="J163">
            <v>120</v>
          </cell>
        </row>
        <row r="164">
          <cell r="B164" t="str">
            <v>Parathion</v>
          </cell>
          <cell r="D164" t="str">
            <v/>
          </cell>
          <cell r="E164" t="str">
            <v/>
          </cell>
          <cell r="F164" t="str">
            <v/>
          </cell>
          <cell r="G164" t="str">
            <v/>
          </cell>
          <cell r="H164" t="str">
            <v/>
          </cell>
          <cell r="I164" t="str">
            <v/>
          </cell>
          <cell r="J164">
            <v>0.02</v>
          </cell>
        </row>
        <row r="165">
          <cell r="B165" t="str">
            <v>Pentachlorophenol</v>
          </cell>
          <cell r="D165">
            <v>0.2</v>
          </cell>
          <cell r="E165" t="str">
            <v/>
          </cell>
          <cell r="F165">
            <v>5.0999999999999996</v>
          </cell>
          <cell r="G165" t="str">
            <v/>
          </cell>
          <cell r="H165">
            <v>2.4</v>
          </cell>
          <cell r="I165" t="str">
            <v/>
          </cell>
          <cell r="J165" t="str">
            <v/>
          </cell>
        </row>
        <row r="166">
          <cell r="B166" t="str">
            <v>Phenol</v>
          </cell>
          <cell r="D166" t="str">
            <v/>
          </cell>
          <cell r="E166">
            <v>200</v>
          </cell>
          <cell r="F166" t="str">
            <v/>
          </cell>
          <cell r="G166">
            <v>880</v>
          </cell>
          <cell r="H166" t="str">
            <v/>
          </cell>
          <cell r="I166">
            <v>880</v>
          </cell>
          <cell r="J166">
            <v>5800</v>
          </cell>
        </row>
        <row r="167">
          <cell r="B167" t="str">
            <v>Phosgene</v>
          </cell>
          <cell r="D167" t="str">
            <v/>
          </cell>
          <cell r="E167">
            <v>0.3</v>
          </cell>
          <cell r="F167" t="str">
            <v/>
          </cell>
          <cell r="G167">
            <v>1.3</v>
          </cell>
          <cell r="H167" t="str">
            <v/>
          </cell>
          <cell r="I167">
            <v>1.3</v>
          </cell>
          <cell r="J167">
            <v>4</v>
          </cell>
        </row>
        <row r="168">
          <cell r="B168" t="str">
            <v>Phosphine</v>
          </cell>
          <cell r="D168" t="str">
            <v/>
          </cell>
          <cell r="E168">
            <v>0.8</v>
          </cell>
          <cell r="F168" t="str">
            <v/>
          </cell>
          <cell r="G168">
            <v>3.5</v>
          </cell>
          <cell r="H168" t="str">
            <v/>
          </cell>
          <cell r="I168">
            <v>3.5</v>
          </cell>
          <cell r="J168" t="str">
            <v/>
          </cell>
        </row>
        <row r="169">
          <cell r="B169" t="str">
            <v>Phosphoric acid</v>
          </cell>
          <cell r="D169" t="str">
            <v/>
          </cell>
          <cell r="E169">
            <v>10</v>
          </cell>
          <cell r="F169" t="str">
            <v/>
          </cell>
          <cell r="G169">
            <v>44</v>
          </cell>
          <cell r="H169" t="str">
            <v/>
          </cell>
          <cell r="I169">
            <v>44</v>
          </cell>
          <cell r="J169" t="str">
            <v/>
          </cell>
        </row>
        <row r="170">
          <cell r="B170" t="str">
            <v>Phosphorus, white</v>
          </cell>
          <cell r="D170" t="str">
            <v/>
          </cell>
          <cell r="E170">
            <v>9</v>
          </cell>
          <cell r="F170" t="str">
            <v/>
          </cell>
          <cell r="G170">
            <v>40</v>
          </cell>
          <cell r="H170" t="str">
            <v/>
          </cell>
          <cell r="I170">
            <v>40</v>
          </cell>
          <cell r="J170">
            <v>20</v>
          </cell>
        </row>
        <row r="171">
          <cell r="B171" t="str">
            <v>Phthalic anhydride</v>
          </cell>
          <cell r="D171" t="str">
            <v/>
          </cell>
          <cell r="E171">
            <v>20</v>
          </cell>
          <cell r="F171" t="str">
            <v/>
          </cell>
          <cell r="G171">
            <v>88</v>
          </cell>
          <cell r="H171" t="str">
            <v/>
          </cell>
          <cell r="I171">
            <v>88</v>
          </cell>
          <cell r="J171" t="str">
            <v/>
          </cell>
        </row>
        <row r="172">
          <cell r="B172" t="str">
            <v>Polybrominated diphenyl ethers (PBDEs)</v>
          </cell>
          <cell r="C172" t="str">
            <v>h</v>
          </cell>
          <cell r="D172" t="str">
            <v/>
          </cell>
          <cell r="E172" t="str">
            <v/>
          </cell>
          <cell r="F172" t="str">
            <v/>
          </cell>
          <cell r="G172" t="str">
            <v/>
          </cell>
          <cell r="H172" t="str">
            <v/>
          </cell>
          <cell r="I172" t="str">
            <v/>
          </cell>
          <cell r="J172">
            <v>6</v>
          </cell>
        </row>
        <row r="173">
          <cell r="B173" t="str">
            <v>Polychlorinated biphenyls (PCBs)</v>
          </cell>
          <cell r="C173" t="str">
            <v>c</v>
          </cell>
          <cell r="D173">
            <v>5.2999999999999998E-4</v>
          </cell>
          <cell r="E173" t="str">
            <v/>
          </cell>
          <cell r="F173">
            <v>0.02</v>
          </cell>
          <cell r="G173" t="str">
            <v/>
          </cell>
          <cell r="H173">
            <v>9.1999999999999998E-3</v>
          </cell>
          <cell r="I173" t="str">
            <v/>
          </cell>
          <cell r="J173" t="str">
            <v/>
          </cell>
        </row>
        <row r="174">
          <cell r="B174" t="str">
            <v>Polychlorinated biphenyls (PCBs) TEQ</v>
          </cell>
          <cell r="C174" t="str">
            <v>c</v>
          </cell>
          <cell r="D174">
            <v>1.0121457489878541E-9</v>
          </cell>
          <cell r="E174">
            <v>1.2903225806451614E-7</v>
          </cell>
          <cell r="F174">
            <v>9.0027700831024925E-8</v>
          </cell>
          <cell r="G174">
            <v>2.6268656716417917E-5</v>
          </cell>
          <cell r="H174">
            <v>4.1551246537396121E-8</v>
          </cell>
          <cell r="I174">
            <v>2.6268656716417917E-5</v>
          </cell>
          <cell r="J174" t="str">
            <v/>
          </cell>
        </row>
        <row r="175">
          <cell r="B175" t="str">
            <v>PCB 77 [3,3',4,4'-tetrachlorobiphenyl]</v>
          </cell>
          <cell r="C175" t="str">
            <v>c</v>
          </cell>
          <cell r="D175">
            <v>1.0121457489878541E-5</v>
          </cell>
          <cell r="E175">
            <v>1.2999999999999999E-3</v>
          </cell>
          <cell r="F175">
            <v>8.9999999999999998E-4</v>
          </cell>
          <cell r="G175">
            <v>0.26</v>
          </cell>
          <cell r="H175">
            <v>4.2000000000000002E-4</v>
          </cell>
          <cell r="I175">
            <v>0.26</v>
          </cell>
          <cell r="J175" t="str">
            <v/>
          </cell>
        </row>
        <row r="176">
          <cell r="B176" t="str">
            <v>PCB 81 [3,4,4',5-tetrachlorobiphenyl]</v>
          </cell>
          <cell r="C176" t="str">
            <v>c</v>
          </cell>
          <cell r="D176">
            <v>3.3738191632928472E-6</v>
          </cell>
          <cell r="E176">
            <v>4.2000000000000002E-4</v>
          </cell>
          <cell r="F176">
            <v>2.9999999999999997E-4</v>
          </cell>
          <cell r="G176">
            <v>8.5000000000000006E-2</v>
          </cell>
          <cell r="H176">
            <v>1.3999999999999999E-4</v>
          </cell>
          <cell r="I176">
            <v>8.5000000000000006E-2</v>
          </cell>
          <cell r="J176" t="str">
            <v/>
          </cell>
        </row>
        <row r="177">
          <cell r="B177" t="str">
            <v>PCB 105 [2,3,3',4,4'-pentachlorobiphenyl]</v>
          </cell>
          <cell r="C177" t="str">
            <v>c</v>
          </cell>
          <cell r="D177">
            <v>3.3738191632928474E-5</v>
          </cell>
          <cell r="E177">
            <v>4.1999999999999997E-3</v>
          </cell>
          <cell r="F177">
            <v>3.0000000000000001E-3</v>
          </cell>
          <cell r="G177">
            <v>0.85</v>
          </cell>
          <cell r="H177">
            <v>1.4E-3</v>
          </cell>
          <cell r="I177">
            <v>0.85</v>
          </cell>
          <cell r="J177" t="str">
            <v/>
          </cell>
        </row>
        <row r="178">
          <cell r="B178" t="str">
            <v>PCB 114 [2,3,4,4',5-pentachlorobiphenyl]</v>
          </cell>
          <cell r="C178" t="str">
            <v>c</v>
          </cell>
          <cell r="D178">
            <v>3.3738191632928474E-5</v>
          </cell>
          <cell r="E178">
            <v>4.1999999999999997E-3</v>
          </cell>
          <cell r="F178">
            <v>3.0000000000000001E-3</v>
          </cell>
          <cell r="G178">
            <v>0.85</v>
          </cell>
          <cell r="H178">
            <v>1.4E-3</v>
          </cell>
          <cell r="I178">
            <v>0.85</v>
          </cell>
          <cell r="J178" t="str">
            <v/>
          </cell>
        </row>
        <row r="179">
          <cell r="B179" t="str">
            <v>PCB 118 [2,3',4,4',5-pentachlorobiphenyl]</v>
          </cell>
          <cell r="C179" t="str">
            <v>c</v>
          </cell>
          <cell r="D179">
            <v>3.3738191632928474E-5</v>
          </cell>
          <cell r="E179">
            <v>4.1999999999999997E-3</v>
          </cell>
          <cell r="F179">
            <v>3.0000000000000001E-3</v>
          </cell>
          <cell r="G179">
            <v>0.85</v>
          </cell>
          <cell r="H179">
            <v>1.4E-3</v>
          </cell>
          <cell r="I179">
            <v>0.85</v>
          </cell>
          <cell r="J179" t="str">
            <v/>
          </cell>
        </row>
        <row r="180">
          <cell r="B180" t="str">
            <v>PCB 123 [2,3',4,4',5'-pentachlorobiphenyl]</v>
          </cell>
          <cell r="C180" t="str">
            <v>c</v>
          </cell>
          <cell r="D180">
            <v>3.3738191632928474E-5</v>
          </cell>
          <cell r="E180">
            <v>4.1999999999999997E-3</v>
          </cell>
          <cell r="F180">
            <v>3.0000000000000001E-3</v>
          </cell>
          <cell r="G180">
            <v>0.85</v>
          </cell>
          <cell r="H180">
            <v>1.4E-3</v>
          </cell>
          <cell r="I180">
            <v>0.85</v>
          </cell>
          <cell r="J180" t="str">
            <v/>
          </cell>
        </row>
        <row r="181">
          <cell r="B181" t="str">
            <v>PCB 126 [3,3',4,4',5-pentachlorobiphenyl]</v>
          </cell>
          <cell r="C181" t="str">
            <v>c</v>
          </cell>
          <cell r="D181">
            <v>1.0121457489878542E-8</v>
          </cell>
          <cell r="E181">
            <v>1.2903225806451614E-6</v>
          </cell>
          <cell r="F181">
            <v>9.0027700831024923E-7</v>
          </cell>
          <cell r="G181">
            <v>2.5999999999999998E-4</v>
          </cell>
          <cell r="H181">
            <v>4.1551246537396117E-7</v>
          </cell>
          <cell r="I181">
            <v>2.5999999999999998E-4</v>
          </cell>
          <cell r="J181" t="str">
            <v/>
          </cell>
        </row>
        <row r="182">
          <cell r="B182" t="str">
            <v>PCB 156 [2,3,3',4,4',5-hexachlorobiphenyl]</v>
          </cell>
          <cell r="C182" t="str">
            <v>c</v>
          </cell>
          <cell r="D182">
            <v>3.3738191632928474E-5</v>
          </cell>
          <cell r="E182">
            <v>4.1999999999999997E-3</v>
          </cell>
          <cell r="F182">
            <v>3.0000000000000001E-3</v>
          </cell>
          <cell r="G182">
            <v>0.85</v>
          </cell>
          <cell r="H182">
            <v>1.4E-3</v>
          </cell>
          <cell r="I182">
            <v>0.85</v>
          </cell>
          <cell r="J182" t="str">
            <v/>
          </cell>
        </row>
        <row r="183">
          <cell r="B183" t="str">
            <v>PCB 157 [2,3,3',4,4',5'-hexachlorobiphenyl]</v>
          </cell>
          <cell r="C183" t="str">
            <v>c</v>
          </cell>
          <cell r="D183">
            <v>3.3738191632928474E-5</v>
          </cell>
          <cell r="E183">
            <v>4.1999999999999997E-3</v>
          </cell>
          <cell r="F183">
            <v>3.0000000000000001E-3</v>
          </cell>
          <cell r="G183">
            <v>0.85</v>
          </cell>
          <cell r="H183">
            <v>1.4E-3</v>
          </cell>
          <cell r="I183">
            <v>0.85</v>
          </cell>
          <cell r="J183" t="str">
            <v/>
          </cell>
        </row>
        <row r="184">
          <cell r="B184" t="str">
            <v>PCB 167 [2,3',4,4',5,5'-hexachlorobiphenyl]</v>
          </cell>
          <cell r="C184" t="str">
            <v>c</v>
          </cell>
          <cell r="D184">
            <v>3.3738191632928474E-5</v>
          </cell>
          <cell r="E184">
            <v>4.1999999999999997E-3</v>
          </cell>
          <cell r="F184">
            <v>3.0000000000000001E-3</v>
          </cell>
          <cell r="G184">
            <v>0.85</v>
          </cell>
          <cell r="H184">
            <v>1.4E-3</v>
          </cell>
          <cell r="I184">
            <v>0.85</v>
          </cell>
          <cell r="J184" t="str">
            <v/>
          </cell>
        </row>
        <row r="185">
          <cell r="B185" t="str">
            <v>PCB 169 [3,3',4,4',5,5'-hexachlorobiphenyl]</v>
          </cell>
          <cell r="C185" t="str">
            <v>c</v>
          </cell>
          <cell r="D185">
            <v>3.3738191632928474E-8</v>
          </cell>
          <cell r="E185">
            <v>4.1935483870967744E-6</v>
          </cell>
          <cell r="F185">
            <v>3.0009233610341641E-6</v>
          </cell>
          <cell r="G185">
            <v>8.4999999999999995E-4</v>
          </cell>
          <cell r="H185">
            <v>1.3850415512465373E-6</v>
          </cell>
          <cell r="I185">
            <v>8.4999999999999995E-4</v>
          </cell>
          <cell r="J185" t="str">
            <v/>
          </cell>
        </row>
        <row r="186">
          <cell r="B186" t="str">
            <v>PCB 189 [2,3,3',4,4',5,5'-heptachlorobiphenyl]</v>
          </cell>
          <cell r="C186" t="str">
            <v>c</v>
          </cell>
          <cell r="D186">
            <v>8.8000000000000003E-4</v>
          </cell>
          <cell r="E186">
            <v>1.3</v>
          </cell>
          <cell r="F186">
            <v>2.3E-2</v>
          </cell>
          <cell r="G186">
            <v>5.7</v>
          </cell>
          <cell r="H186">
            <v>1.0999999999999999E-2</v>
          </cell>
          <cell r="I186">
            <v>5.7</v>
          </cell>
          <cell r="J186" t="str">
            <v/>
          </cell>
        </row>
        <row r="187">
          <cell r="B187" t="str">
            <v>Polychlorinated dibenzo-p-dioxins (PCDDs) &amp; dibenzofurans (PCDFs) TEQ</v>
          </cell>
          <cell r="C187" t="str">
            <v>c</v>
          </cell>
          <cell r="D187">
            <v>1.0121457489878541E-9</v>
          </cell>
          <cell r="E187">
            <v>1.2903225806451614E-7</v>
          </cell>
          <cell r="F187">
            <v>9.0027700831024925E-8</v>
          </cell>
          <cell r="G187">
            <v>2.6268656716417917E-5</v>
          </cell>
          <cell r="H187">
            <v>4.1551246537396121E-8</v>
          </cell>
          <cell r="I187">
            <v>2.6268656716417917E-5</v>
          </cell>
          <cell r="J187" t="str">
            <v/>
          </cell>
        </row>
        <row r="188">
          <cell r="B188" t="str">
            <v>2,3,7,8-Tetrachlorodibenzo-p-dioxin (TCDD)</v>
          </cell>
          <cell r="C188" t="str">
            <v>c</v>
          </cell>
          <cell r="D188">
            <v>1.0121457489878541E-9</v>
          </cell>
          <cell r="E188">
            <v>1.2903225806451614E-7</v>
          </cell>
          <cell r="F188">
            <v>9.0027700831024925E-8</v>
          </cell>
          <cell r="G188">
            <v>2.6268656716417917E-5</v>
          </cell>
          <cell r="H188">
            <v>4.1551246537396121E-8</v>
          </cell>
          <cell r="I188">
            <v>2.6268656716417917E-5</v>
          </cell>
          <cell r="J188" t="str">
            <v/>
          </cell>
        </row>
        <row r="189">
          <cell r="B189" t="str">
            <v>1,2,3,7,8-Pentachlorodibenzo-p-dioxin (PeCDD)</v>
          </cell>
          <cell r="C189" t="str">
            <v>c</v>
          </cell>
          <cell r="D189">
            <v>1.0121457489878541E-9</v>
          </cell>
          <cell r="E189">
            <v>1.2903225806451614E-7</v>
          </cell>
          <cell r="F189">
            <v>9.0027700831024925E-8</v>
          </cell>
          <cell r="G189">
            <v>2.6268656716417917E-5</v>
          </cell>
          <cell r="H189">
            <v>4.1551246537396121E-8</v>
          </cell>
          <cell r="I189">
            <v>2.6268656716417917E-5</v>
          </cell>
          <cell r="J189" t="str">
            <v/>
          </cell>
        </row>
        <row r="190">
          <cell r="B190" t="str">
            <v>1,2,3,4,7,8-Hexachlorodibenzo-p-dioxin (HxCDD)</v>
          </cell>
          <cell r="C190" t="str">
            <v>c</v>
          </cell>
          <cell r="D190">
            <v>1.0121457489878542E-8</v>
          </cell>
          <cell r="E190">
            <v>1.2903225806451614E-6</v>
          </cell>
          <cell r="F190">
            <v>9.0027700831024923E-7</v>
          </cell>
          <cell r="G190">
            <v>2.5999999999999998E-4</v>
          </cell>
          <cell r="H190">
            <v>4.1551246537396117E-7</v>
          </cell>
          <cell r="I190">
            <v>2.5999999999999998E-4</v>
          </cell>
          <cell r="J190" t="str">
            <v/>
          </cell>
        </row>
        <row r="191">
          <cell r="B191" t="str">
            <v>1,2,3,6,7,8-Hexachlorodibenzo-p-dioxin (HxCDD)</v>
          </cell>
          <cell r="C191" t="str">
            <v>c</v>
          </cell>
          <cell r="D191">
            <v>1.0121457489878542E-8</v>
          </cell>
          <cell r="E191">
            <v>1.2903225806451614E-6</v>
          </cell>
          <cell r="F191">
            <v>9.0027700831024923E-7</v>
          </cell>
          <cell r="G191">
            <v>2.5999999999999998E-4</v>
          </cell>
          <cell r="H191">
            <v>4.1551246537396117E-7</v>
          </cell>
          <cell r="I191">
            <v>2.5999999999999998E-4</v>
          </cell>
          <cell r="J191" t="str">
            <v/>
          </cell>
        </row>
        <row r="192">
          <cell r="B192" t="str">
            <v>1,2,3,7,8,9-Hexachlorodibenzo-p-dioxin (HxCDD)</v>
          </cell>
          <cell r="C192" t="str">
            <v>c</v>
          </cell>
          <cell r="D192">
            <v>1.0121457489878542E-8</v>
          </cell>
          <cell r="E192">
            <v>1.2903225806451614E-6</v>
          </cell>
          <cell r="F192">
            <v>9.0027700831024923E-7</v>
          </cell>
          <cell r="G192">
            <v>2.5999999999999998E-4</v>
          </cell>
          <cell r="H192">
            <v>4.1551246537396117E-7</v>
          </cell>
          <cell r="I192">
            <v>2.5999999999999998E-4</v>
          </cell>
          <cell r="J192" t="str">
            <v/>
          </cell>
        </row>
        <row r="193">
          <cell r="B193" t="str">
            <v>1,2,3,4,6,7,8-Heptachlorodibenzo-p-dioxin (HpCDD)</v>
          </cell>
          <cell r="C193" t="str">
            <v>c</v>
          </cell>
          <cell r="D193">
            <v>1.0121457489878542E-7</v>
          </cell>
          <cell r="E193">
            <v>1.2903225806451613E-5</v>
          </cell>
          <cell r="F193">
            <v>9.0027700831024931E-6</v>
          </cell>
          <cell r="G193">
            <v>2.5999999999999999E-3</v>
          </cell>
          <cell r="H193">
            <v>4.155124653739612E-6</v>
          </cell>
          <cell r="I193">
            <v>2.5999999999999999E-3</v>
          </cell>
          <cell r="J193" t="str">
            <v/>
          </cell>
        </row>
        <row r="194">
          <cell r="B194" t="str">
            <v>Octachlorodibenzo-p-dioxin (OCDD)</v>
          </cell>
          <cell r="C194" t="str">
            <v>c</v>
          </cell>
          <cell r="D194">
            <v>3.3738191632928472E-6</v>
          </cell>
          <cell r="E194">
            <v>4.2000000000000002E-4</v>
          </cell>
          <cell r="F194">
            <v>2.9999999999999997E-4</v>
          </cell>
          <cell r="G194">
            <v>8.5000000000000006E-2</v>
          </cell>
          <cell r="H194">
            <v>1.3999999999999999E-4</v>
          </cell>
          <cell r="I194">
            <v>8.5000000000000006E-2</v>
          </cell>
          <cell r="J194" t="str">
            <v/>
          </cell>
        </row>
        <row r="195">
          <cell r="B195" t="str">
            <v>2,3,7,8-Tetrachlorodibenzofuran (TcDF)</v>
          </cell>
          <cell r="C195" t="str">
            <v>c</v>
          </cell>
          <cell r="D195">
            <v>1.0121457489878542E-8</v>
          </cell>
          <cell r="E195">
            <v>1.2903225806451614E-6</v>
          </cell>
          <cell r="F195">
            <v>9.0027700831024923E-7</v>
          </cell>
          <cell r="G195">
            <v>2.5999999999999998E-4</v>
          </cell>
          <cell r="H195">
            <v>4.1551246537396117E-7</v>
          </cell>
          <cell r="I195">
            <v>2.5999999999999998E-4</v>
          </cell>
          <cell r="J195" t="str">
            <v/>
          </cell>
        </row>
        <row r="196">
          <cell r="B196" t="str">
            <v>1,2,3,7,8-Pentachlorodibenzofuran (PeCDF)</v>
          </cell>
          <cell r="C196" t="str">
            <v>c</v>
          </cell>
          <cell r="D196">
            <v>3.3738191632928474E-8</v>
          </cell>
          <cell r="E196">
            <v>4.1935483870967744E-6</v>
          </cell>
          <cell r="F196">
            <v>3.0009233610341641E-6</v>
          </cell>
          <cell r="G196">
            <v>8.4999999999999995E-4</v>
          </cell>
          <cell r="H196">
            <v>1.3850415512465373E-6</v>
          </cell>
          <cell r="I196">
            <v>8.4999999999999995E-4</v>
          </cell>
          <cell r="J196" t="str">
            <v/>
          </cell>
        </row>
        <row r="197">
          <cell r="B197" t="str">
            <v>2,3,4,7,8-Pentachlorodibenzofuran (PeCDF)</v>
          </cell>
          <cell r="C197" t="str">
            <v>c</v>
          </cell>
          <cell r="D197">
            <v>3.373819163292847E-9</v>
          </cell>
          <cell r="E197">
            <v>4.1935483870967738E-7</v>
          </cell>
          <cell r="F197">
            <v>3.0009233610341641E-7</v>
          </cell>
          <cell r="G197">
            <v>8.5373134328358208E-5</v>
          </cell>
          <cell r="H197">
            <v>1.3850415512465372E-7</v>
          </cell>
          <cell r="I197">
            <v>8.5373134328358208E-5</v>
          </cell>
          <cell r="J197" t="str">
            <v/>
          </cell>
        </row>
        <row r="198">
          <cell r="B198" t="str">
            <v>1,2,3,4,7,8-Hexachlorodibenzofuran (HxCDF)</v>
          </cell>
          <cell r="C198" t="str">
            <v>c</v>
          </cell>
          <cell r="D198">
            <v>1.0121457489878542E-8</v>
          </cell>
          <cell r="E198">
            <v>1.2903225806451614E-6</v>
          </cell>
          <cell r="F198">
            <v>9.0027700831024923E-7</v>
          </cell>
          <cell r="G198">
            <v>2.5999999999999998E-4</v>
          </cell>
          <cell r="H198">
            <v>4.1551246537396117E-7</v>
          </cell>
          <cell r="I198">
            <v>2.5999999999999998E-4</v>
          </cell>
          <cell r="J198" t="str">
            <v/>
          </cell>
        </row>
        <row r="199">
          <cell r="B199" t="str">
            <v>1,2,3,6,7,8-Hexachlorodibenzofuran (HxCDF)</v>
          </cell>
          <cell r="C199" t="str">
            <v>c</v>
          </cell>
          <cell r="D199">
            <v>1.0121457489878542E-8</v>
          </cell>
          <cell r="E199">
            <v>1.2903225806451614E-6</v>
          </cell>
          <cell r="F199">
            <v>9.0027700831024923E-7</v>
          </cell>
          <cell r="G199">
            <v>2.5999999999999998E-4</v>
          </cell>
          <cell r="H199">
            <v>4.1551246537396117E-7</v>
          </cell>
          <cell r="I199">
            <v>2.5999999999999998E-4</v>
          </cell>
          <cell r="J199" t="str">
            <v/>
          </cell>
        </row>
        <row r="200">
          <cell r="B200" t="str">
            <v>1,2,3,7,8,9-Hexachlorodibenzofuran (HxCDF)</v>
          </cell>
          <cell r="C200" t="str">
            <v>c</v>
          </cell>
          <cell r="D200">
            <v>1.0121457489878542E-8</v>
          </cell>
          <cell r="E200">
            <v>1.2903225806451614E-6</v>
          </cell>
          <cell r="F200">
            <v>9.0027700831024923E-7</v>
          </cell>
          <cell r="G200">
            <v>2.5999999999999998E-4</v>
          </cell>
          <cell r="H200">
            <v>4.1551246537396117E-7</v>
          </cell>
          <cell r="I200">
            <v>2.5999999999999998E-4</v>
          </cell>
          <cell r="J200" t="str">
            <v/>
          </cell>
        </row>
        <row r="201">
          <cell r="B201" t="str">
            <v>2,3,4,6,7,8-Hexachlorodibenzofuran  (HxCDF)</v>
          </cell>
          <cell r="C201" t="str">
            <v>c</v>
          </cell>
          <cell r="D201">
            <v>1.0121457489878542E-8</v>
          </cell>
          <cell r="E201">
            <v>1.2903225806451614E-6</v>
          </cell>
          <cell r="F201">
            <v>9.0027700831024923E-7</v>
          </cell>
          <cell r="G201">
            <v>2.5999999999999998E-4</v>
          </cell>
          <cell r="H201">
            <v>4.1551246537396117E-7</v>
          </cell>
          <cell r="I201">
            <v>2.5999999999999998E-4</v>
          </cell>
          <cell r="J201" t="str">
            <v/>
          </cell>
        </row>
        <row r="202">
          <cell r="B202" t="str">
            <v>1,2,3,4,6,7,8-Heptachlorodibenzofuran (HpCDF)</v>
          </cell>
          <cell r="C202" t="str">
            <v>c</v>
          </cell>
          <cell r="D202">
            <v>1.0121457489878542E-7</v>
          </cell>
          <cell r="E202">
            <v>1.2903225806451613E-5</v>
          </cell>
          <cell r="F202">
            <v>9.0027700831024931E-6</v>
          </cell>
          <cell r="G202">
            <v>2.5999999999999999E-3</v>
          </cell>
          <cell r="H202">
            <v>4.155124653739612E-6</v>
          </cell>
          <cell r="I202">
            <v>2.5999999999999999E-3</v>
          </cell>
          <cell r="J202" t="str">
            <v/>
          </cell>
        </row>
        <row r="203">
          <cell r="B203" t="str">
            <v>1,2,3,4,7,8,9-Heptachlorodibenzofuran (HpCDF)</v>
          </cell>
          <cell r="C203" t="str">
            <v>c</v>
          </cell>
          <cell r="D203">
            <v>1.0121457489878542E-7</v>
          </cell>
          <cell r="E203">
            <v>1.2903225806451613E-5</v>
          </cell>
          <cell r="F203">
            <v>9.0027700831024931E-6</v>
          </cell>
          <cell r="G203">
            <v>2.5999999999999999E-3</v>
          </cell>
          <cell r="H203">
            <v>4.155124653739612E-6</v>
          </cell>
          <cell r="I203">
            <v>2.5999999999999999E-3</v>
          </cell>
          <cell r="J203" t="str">
            <v/>
          </cell>
        </row>
        <row r="204">
          <cell r="B204" t="str">
            <v>Octachlorodibenzofuran (OCDF)</v>
          </cell>
          <cell r="C204" t="str">
            <v>c</v>
          </cell>
          <cell r="D204">
            <v>3.3738191632928472E-6</v>
          </cell>
          <cell r="E204">
            <v>4.2000000000000002E-4</v>
          </cell>
          <cell r="F204">
            <v>2.9999999999999997E-4</v>
          </cell>
          <cell r="G204">
            <v>8.5000000000000006E-2</v>
          </cell>
          <cell r="H204">
            <v>1.3999999999999999E-4</v>
          </cell>
          <cell r="I204">
            <v>8.5000000000000006E-2</v>
          </cell>
          <cell r="J204" t="str">
            <v/>
          </cell>
        </row>
        <row r="205">
          <cell r="B205" t="str">
            <v>Polycyclic aromatic hydrocarbons (PAHs)</v>
          </cell>
          <cell r="C205" t="str">
            <v>c, g</v>
          </cell>
          <cell r="D205">
            <v>4.2625745950554133E-5</v>
          </cell>
          <cell r="E205" t="str">
            <v/>
          </cell>
          <cell r="F205">
            <v>1.6000000000000001E-3</v>
          </cell>
          <cell r="G205" t="str">
            <v/>
          </cell>
          <cell r="H205">
            <v>3.0000000000000001E-3</v>
          </cell>
          <cell r="I205" t="str">
            <v/>
          </cell>
          <cell r="J205" t="str">
            <v/>
          </cell>
        </row>
        <row r="206">
          <cell r="B206" t="str">
            <v>Anthanthrene</v>
          </cell>
          <cell r="C206" t="str">
            <v>c, g</v>
          </cell>
          <cell r="D206">
            <v>1.1E-4</v>
          </cell>
          <cell r="E206" t="str">
            <v/>
          </cell>
          <cell r="F206">
            <v>3.8999999999999998E-3</v>
          </cell>
          <cell r="G206" t="str">
            <v/>
          </cell>
          <cell r="H206">
            <v>7.6E-3</v>
          </cell>
          <cell r="I206" t="str">
            <v/>
          </cell>
          <cell r="J206" t="str">
            <v/>
          </cell>
        </row>
        <row r="207">
          <cell r="B207" t="str">
            <v>Benz[a]anthracene</v>
          </cell>
          <cell r="C207" t="str">
            <v>c, g</v>
          </cell>
          <cell r="D207">
            <v>2.1000000000000001E-4</v>
          </cell>
          <cell r="E207" t="str">
            <v/>
          </cell>
          <cell r="F207">
            <v>7.7999999999999996E-3</v>
          </cell>
          <cell r="G207" t="str">
            <v/>
          </cell>
          <cell r="H207">
            <v>1.4999999999999999E-2</v>
          </cell>
          <cell r="I207" t="str">
            <v/>
          </cell>
          <cell r="J207" t="str">
            <v/>
          </cell>
        </row>
        <row r="208">
          <cell r="B208" t="str">
            <v>Benzo[a]pyrene</v>
          </cell>
          <cell r="C208" t="str">
            <v>c, g</v>
          </cell>
          <cell r="D208">
            <v>4.2625745950554133E-5</v>
          </cell>
          <cell r="E208">
            <v>2E-3</v>
          </cell>
          <cell r="F208">
            <v>1.6000000000000001E-3</v>
          </cell>
          <cell r="G208">
            <v>8.8000000000000005E-3</v>
          </cell>
          <cell r="H208">
            <v>3.0000000000000001E-3</v>
          </cell>
          <cell r="I208">
            <v>8.8000000000000005E-3</v>
          </cell>
          <cell r="J208">
            <v>2E-3</v>
          </cell>
        </row>
        <row r="209">
          <cell r="B209" t="str">
            <v>Benzo[b]fluoranthene</v>
          </cell>
          <cell r="C209" t="str">
            <v>c, g</v>
          </cell>
          <cell r="D209">
            <v>5.3282182438192668E-5</v>
          </cell>
          <cell r="E209" t="str">
            <v/>
          </cell>
          <cell r="F209">
            <v>2E-3</v>
          </cell>
          <cell r="G209" t="str">
            <v/>
          </cell>
          <cell r="H209">
            <v>3.8E-3</v>
          </cell>
          <cell r="I209" t="str">
            <v/>
          </cell>
          <cell r="J209" t="str">
            <v/>
          </cell>
        </row>
        <row r="210">
          <cell r="B210" t="str">
            <v>Benzo[c]fluorene</v>
          </cell>
          <cell r="C210" t="str">
            <v>c, g</v>
          </cell>
          <cell r="D210">
            <v>2.1312872975277068E-6</v>
          </cell>
          <cell r="E210" t="str">
            <v/>
          </cell>
          <cell r="F210">
            <v>7.8162578162578185E-5</v>
          </cell>
          <cell r="G210" t="str">
            <v/>
          </cell>
          <cell r="H210">
            <v>1.4999999999999999E-4</v>
          </cell>
          <cell r="I210" t="str">
            <v/>
          </cell>
          <cell r="J210" t="str">
            <v/>
          </cell>
        </row>
        <row r="211">
          <cell r="B211" t="str">
            <v>Benzo[g,h,i]perylene</v>
          </cell>
          <cell r="C211" t="str">
            <v>c, g</v>
          </cell>
          <cell r="D211">
            <v>4.7000000000000002E-3</v>
          </cell>
          <cell r="E211" t="str">
            <v/>
          </cell>
          <cell r="F211">
            <v>0.17</v>
          </cell>
          <cell r="G211" t="str">
            <v/>
          </cell>
          <cell r="H211">
            <v>0.34</v>
          </cell>
          <cell r="I211" t="str">
            <v/>
          </cell>
          <cell r="J211" t="str">
            <v/>
          </cell>
        </row>
        <row r="212">
          <cell r="B212" t="str">
            <v>Benzo[j]fluoranthene</v>
          </cell>
          <cell r="C212" t="str">
            <v>c, g</v>
          </cell>
          <cell r="D212">
            <v>1.3999999999999999E-4</v>
          </cell>
          <cell r="E212" t="str">
            <v/>
          </cell>
          <cell r="F212">
            <v>5.1999999999999998E-3</v>
          </cell>
          <cell r="G212" t="str">
            <v/>
          </cell>
          <cell r="H212">
            <v>0.01</v>
          </cell>
          <cell r="I212" t="str">
            <v/>
          </cell>
          <cell r="J212" t="str">
            <v/>
          </cell>
        </row>
        <row r="213">
          <cell r="B213" t="str">
            <v>Benzo[k]fluoranthene</v>
          </cell>
          <cell r="C213" t="str">
            <v>c, g</v>
          </cell>
          <cell r="D213">
            <v>1.4E-3</v>
          </cell>
          <cell r="E213" t="str">
            <v/>
          </cell>
          <cell r="F213">
            <v>5.1999999999999998E-2</v>
          </cell>
          <cell r="G213" t="str">
            <v/>
          </cell>
          <cell r="H213">
            <v>0.1</v>
          </cell>
          <cell r="I213" t="str">
            <v/>
          </cell>
          <cell r="J213" t="str">
            <v/>
          </cell>
        </row>
        <row r="214">
          <cell r="B214" t="str">
            <v>Chrysene</v>
          </cell>
          <cell r="C214" t="str">
            <v>c, g</v>
          </cell>
          <cell r="D214">
            <v>4.2999999999999999E-4</v>
          </cell>
          <cell r="E214" t="str">
            <v/>
          </cell>
          <cell r="F214">
            <v>1.6E-2</v>
          </cell>
          <cell r="G214" t="str">
            <v/>
          </cell>
          <cell r="H214">
            <v>0.03</v>
          </cell>
          <cell r="I214" t="str">
            <v/>
          </cell>
          <cell r="J214" t="str">
            <v/>
          </cell>
        </row>
        <row r="215">
          <cell r="B215" t="str">
            <v>Cyclopenta[c,d]pyrene</v>
          </cell>
          <cell r="C215" t="str">
            <v>c, g</v>
          </cell>
          <cell r="D215">
            <v>1.1E-4</v>
          </cell>
          <cell r="E215" t="str">
            <v/>
          </cell>
          <cell r="F215">
            <v>3.8999999999999998E-3</v>
          </cell>
          <cell r="G215" t="str">
            <v/>
          </cell>
          <cell r="H215">
            <v>7.6E-3</v>
          </cell>
          <cell r="I215" t="str">
            <v/>
          </cell>
          <cell r="J215" t="str">
            <v/>
          </cell>
        </row>
        <row r="216">
          <cell r="B216" t="str">
            <v>Dibenz[a,h]anthracene</v>
          </cell>
          <cell r="C216" t="str">
            <v>c, g</v>
          </cell>
          <cell r="D216">
            <v>4.2625745950554137E-6</v>
          </cell>
          <cell r="E216" t="str">
            <v/>
          </cell>
          <cell r="F216">
            <v>1.6000000000000001E-4</v>
          </cell>
          <cell r="G216" t="str">
            <v/>
          </cell>
          <cell r="H216">
            <v>2.9999999999999997E-4</v>
          </cell>
          <cell r="I216" t="str">
            <v/>
          </cell>
          <cell r="J216" t="str">
            <v/>
          </cell>
        </row>
        <row r="217">
          <cell r="B217" t="str">
            <v>Dibenzo[a,e]pyrene</v>
          </cell>
          <cell r="C217" t="str">
            <v>c, g</v>
          </cell>
          <cell r="D217">
            <v>1.1E-4</v>
          </cell>
          <cell r="E217" t="str">
            <v/>
          </cell>
          <cell r="F217">
            <v>3.8999999999999998E-3</v>
          </cell>
          <cell r="G217" t="str">
            <v/>
          </cell>
          <cell r="H217">
            <v>7.6E-3</v>
          </cell>
          <cell r="I217" t="str">
            <v/>
          </cell>
          <cell r="J217" t="str">
            <v/>
          </cell>
        </row>
        <row r="218">
          <cell r="B218" t="str">
            <v>Dibenzo[a,h]pyrene</v>
          </cell>
          <cell r="C218" t="str">
            <v>c, g</v>
          </cell>
          <cell r="D218">
            <v>4.7361939945060156E-5</v>
          </cell>
          <cell r="E218" t="str">
            <v/>
          </cell>
          <cell r="F218">
            <v>1.6999999999999999E-3</v>
          </cell>
          <cell r="G218" t="str">
            <v/>
          </cell>
          <cell r="H218">
            <v>3.3999999999999998E-3</v>
          </cell>
          <cell r="I218" t="str">
            <v/>
          </cell>
          <cell r="J218" t="str">
            <v/>
          </cell>
        </row>
        <row r="219">
          <cell r="B219" t="str">
            <v>Dibenzo[a,i]pyrene</v>
          </cell>
          <cell r="C219" t="str">
            <v>c, g</v>
          </cell>
          <cell r="D219">
            <v>7.1042909917590224E-5</v>
          </cell>
          <cell r="E219" t="str">
            <v/>
          </cell>
          <cell r="F219">
            <v>2.5999999999999999E-3</v>
          </cell>
          <cell r="G219" t="str">
            <v/>
          </cell>
          <cell r="H219">
            <v>5.1000000000000004E-3</v>
          </cell>
          <cell r="I219" t="str">
            <v/>
          </cell>
          <cell r="J219" t="str">
            <v/>
          </cell>
        </row>
        <row r="220">
          <cell r="B220" t="str">
            <v>Dibenzo[a,l]pyrene</v>
          </cell>
          <cell r="C220" t="str">
            <v>c, g</v>
          </cell>
          <cell r="D220">
            <v>1.4208581983518046E-6</v>
          </cell>
          <cell r="E220" t="str">
            <v/>
          </cell>
          <cell r="F220">
            <v>5.2108385441718781E-5</v>
          </cell>
          <cell r="G220" t="str">
            <v/>
          </cell>
          <cell r="H220">
            <v>1E-4</v>
          </cell>
          <cell r="I220" t="str">
            <v/>
          </cell>
          <cell r="J220" t="str">
            <v/>
          </cell>
        </row>
        <row r="221">
          <cell r="B221" t="str">
            <v>Fluoranthene</v>
          </cell>
          <cell r="C221" t="str">
            <v>c, g</v>
          </cell>
          <cell r="D221">
            <v>5.2999999999999998E-4</v>
          </cell>
          <cell r="E221" t="str">
            <v/>
          </cell>
          <cell r="F221">
            <v>0.02</v>
          </cell>
          <cell r="G221" t="str">
            <v/>
          </cell>
          <cell r="H221">
            <v>3.7999999999999999E-2</v>
          </cell>
          <cell r="I221" t="str">
            <v/>
          </cell>
          <cell r="J221" t="str">
            <v/>
          </cell>
        </row>
        <row r="222">
          <cell r="B222" t="str">
            <v>Indeno[1,2,3-cd]pyrene</v>
          </cell>
          <cell r="C222" t="str">
            <v>c, g</v>
          </cell>
          <cell r="D222">
            <v>6.0999999999999997E-4</v>
          </cell>
          <cell r="E222" t="str">
            <v/>
          </cell>
          <cell r="F222">
            <v>2.1999999999999999E-2</v>
          </cell>
          <cell r="G222" t="str">
            <v/>
          </cell>
          <cell r="H222">
            <v>4.2999999999999997E-2</v>
          </cell>
          <cell r="I222" t="str">
            <v/>
          </cell>
          <cell r="J222" t="str">
            <v/>
          </cell>
        </row>
        <row r="223">
          <cell r="B223" t="str">
            <v>5-Methylchrysene</v>
          </cell>
          <cell r="C223" t="str">
            <v>c, g</v>
          </cell>
          <cell r="D223">
            <v>4.2625745950554133E-5</v>
          </cell>
          <cell r="E223" t="str">
            <v/>
          </cell>
          <cell r="F223">
            <v>1.6000000000000001E-3</v>
          </cell>
          <cell r="G223" t="str">
            <v/>
          </cell>
          <cell r="H223">
            <v>3.0000000000000001E-3</v>
          </cell>
          <cell r="I223" t="str">
            <v/>
          </cell>
          <cell r="J223" t="str">
            <v/>
          </cell>
        </row>
        <row r="224">
          <cell r="B224" t="str">
            <v>6-Nitrochrysene</v>
          </cell>
          <cell r="C224" t="str">
            <v>c, g</v>
          </cell>
          <cell r="D224">
            <v>4.2625745950554137E-6</v>
          </cell>
          <cell r="E224" t="str">
            <v/>
          </cell>
          <cell r="F224">
            <v>1.6000000000000001E-4</v>
          </cell>
          <cell r="G224" t="str">
            <v/>
          </cell>
          <cell r="H224">
            <v>2.9999999999999997E-4</v>
          </cell>
          <cell r="I224" t="str">
            <v/>
          </cell>
          <cell r="J224" t="str">
            <v/>
          </cell>
        </row>
        <row r="225">
          <cell r="B225" t="str">
            <v>Potassium bromate</v>
          </cell>
          <cell r="D225">
            <v>7.1000000000000004E-3</v>
          </cell>
          <cell r="E225" t="str">
            <v/>
          </cell>
          <cell r="F225">
            <v>0.19</v>
          </cell>
          <cell r="G225" t="str">
            <v/>
          </cell>
          <cell r="H225">
            <v>8.5999999999999993E-2</v>
          </cell>
          <cell r="I225" t="str">
            <v/>
          </cell>
          <cell r="J225" t="str">
            <v/>
          </cell>
        </row>
        <row r="226">
          <cell r="B226" t="str">
            <v>1,3-Propane sultone</v>
          </cell>
          <cell r="D226">
            <v>1.4E-3</v>
          </cell>
          <cell r="E226" t="str">
            <v/>
          </cell>
          <cell r="F226">
            <v>3.7999999999999999E-2</v>
          </cell>
          <cell r="G226" t="str">
            <v/>
          </cell>
          <cell r="H226">
            <v>1.7000000000000001E-2</v>
          </cell>
          <cell r="I226" t="str">
            <v/>
          </cell>
          <cell r="J226" t="str">
            <v/>
          </cell>
        </row>
        <row r="227">
          <cell r="B227" t="str">
            <v>Propionaldehyde</v>
          </cell>
          <cell r="D227" t="str">
            <v/>
          </cell>
          <cell r="E227">
            <v>8</v>
          </cell>
          <cell r="F227" t="str">
            <v/>
          </cell>
          <cell r="G227">
            <v>35</v>
          </cell>
          <cell r="H227" t="str">
            <v/>
          </cell>
          <cell r="I227">
            <v>35</v>
          </cell>
          <cell r="J227" t="str">
            <v/>
          </cell>
        </row>
        <row r="228">
          <cell r="B228" t="str">
            <v>Propylene</v>
          </cell>
          <cell r="D228" t="str">
            <v/>
          </cell>
          <cell r="E228">
            <v>3000</v>
          </cell>
          <cell r="F228" t="str">
            <v/>
          </cell>
          <cell r="G228">
            <v>13000</v>
          </cell>
          <cell r="H228" t="str">
            <v/>
          </cell>
          <cell r="I228">
            <v>13000</v>
          </cell>
          <cell r="J228" t="str">
            <v/>
          </cell>
        </row>
        <row r="229">
          <cell r="B229" t="str">
            <v>Propylene glycol dinitrate</v>
          </cell>
          <cell r="D229" t="str">
            <v/>
          </cell>
          <cell r="E229">
            <v>0.27</v>
          </cell>
          <cell r="F229" t="str">
            <v/>
          </cell>
          <cell r="G229">
            <v>1.2</v>
          </cell>
          <cell r="H229" t="str">
            <v/>
          </cell>
          <cell r="I229">
            <v>1.2</v>
          </cell>
          <cell r="J229">
            <v>20</v>
          </cell>
        </row>
        <row r="230">
          <cell r="B230" t="str">
            <v>Propylene glycol monomethyl ether</v>
          </cell>
          <cell r="D230" t="str">
            <v/>
          </cell>
          <cell r="E230">
            <v>7000</v>
          </cell>
          <cell r="F230" t="str">
            <v/>
          </cell>
          <cell r="G230">
            <v>31000</v>
          </cell>
          <cell r="H230" t="str">
            <v/>
          </cell>
          <cell r="I230">
            <v>31000</v>
          </cell>
          <cell r="J230" t="str">
            <v/>
          </cell>
        </row>
        <row r="231">
          <cell r="B231" t="str">
            <v>Propylene oxide</v>
          </cell>
          <cell r="D231">
            <v>0.27</v>
          </cell>
          <cell r="E231">
            <v>30</v>
          </cell>
          <cell r="F231">
            <v>7</v>
          </cell>
          <cell r="G231">
            <v>130</v>
          </cell>
          <cell r="H231">
            <v>3.2</v>
          </cell>
          <cell r="I231">
            <v>130</v>
          </cell>
          <cell r="J231">
            <v>3100</v>
          </cell>
        </row>
        <row r="232">
          <cell r="B232" t="str">
            <v>Refractory Ceramic Fibers</v>
          </cell>
          <cell r="C232" t="str">
            <v>i</v>
          </cell>
          <cell r="D232" t="str">
            <v/>
          </cell>
          <cell r="E232">
            <v>0.03</v>
          </cell>
          <cell r="F232" t="str">
            <v/>
          </cell>
          <cell r="G232">
            <v>0.13</v>
          </cell>
          <cell r="H232" t="str">
            <v/>
          </cell>
          <cell r="I232">
            <v>0.13</v>
          </cell>
          <cell r="J232" t="str">
            <v/>
          </cell>
        </row>
        <row r="233">
          <cell r="B233" t="str">
            <v>Selenide, hydrogen</v>
          </cell>
          <cell r="D233" t="str">
            <v/>
          </cell>
          <cell r="E233" t="str">
            <v/>
          </cell>
          <cell r="F233" t="str">
            <v/>
          </cell>
          <cell r="G233" t="str">
            <v/>
          </cell>
          <cell r="H233" t="str">
            <v/>
          </cell>
          <cell r="I233" t="str">
            <v/>
          </cell>
          <cell r="J233">
            <v>5</v>
          </cell>
        </row>
        <row r="234">
          <cell r="B234" t="str">
            <v>Selenium and compounds</v>
          </cell>
          <cell r="C234" t="str">
            <v>l</v>
          </cell>
          <cell r="D234" t="str">
            <v/>
          </cell>
          <cell r="E234" t="str">
            <v/>
          </cell>
          <cell r="F234" t="str">
            <v/>
          </cell>
          <cell r="G234" t="str">
            <v/>
          </cell>
          <cell r="H234" t="str">
            <v/>
          </cell>
          <cell r="I234" t="str">
            <v/>
          </cell>
          <cell r="J234">
            <v>2</v>
          </cell>
        </row>
        <row r="235">
          <cell r="B235" t="str">
            <v>Silica, crystalline (respirable)</v>
          </cell>
          <cell r="D235" t="str">
            <v/>
          </cell>
          <cell r="E235">
            <v>3</v>
          </cell>
          <cell r="F235" t="str">
            <v/>
          </cell>
          <cell r="G235">
            <v>13</v>
          </cell>
          <cell r="H235" t="str">
            <v/>
          </cell>
          <cell r="I235">
            <v>13</v>
          </cell>
          <cell r="J235" t="str">
            <v/>
          </cell>
        </row>
        <row r="236">
          <cell r="B236" t="str">
            <v>Sodium hydroxide</v>
          </cell>
          <cell r="D236" t="str">
            <v/>
          </cell>
          <cell r="E236" t="str">
            <v/>
          </cell>
          <cell r="F236" t="str">
            <v/>
          </cell>
          <cell r="G236" t="str">
            <v/>
          </cell>
          <cell r="H236" t="str">
            <v/>
          </cell>
          <cell r="I236" t="str">
            <v/>
          </cell>
          <cell r="J236">
            <v>8</v>
          </cell>
        </row>
        <row r="237">
          <cell r="B237" t="str">
            <v>Styrene</v>
          </cell>
          <cell r="D237" t="str">
            <v/>
          </cell>
          <cell r="E237">
            <v>1000</v>
          </cell>
          <cell r="F237" t="str">
            <v/>
          </cell>
          <cell r="G237">
            <v>4400</v>
          </cell>
          <cell r="H237" t="str">
            <v/>
          </cell>
          <cell r="I237">
            <v>4400</v>
          </cell>
          <cell r="J237">
            <v>21000</v>
          </cell>
        </row>
        <row r="238">
          <cell r="B238" t="str">
            <v>Sulfuric acid</v>
          </cell>
          <cell r="D238" t="str">
            <v/>
          </cell>
          <cell r="E238">
            <v>1</v>
          </cell>
          <cell r="F238" t="str">
            <v/>
          </cell>
          <cell r="G238">
            <v>4.4000000000000004</v>
          </cell>
          <cell r="H238" t="str">
            <v/>
          </cell>
          <cell r="I238">
            <v>4.4000000000000004</v>
          </cell>
          <cell r="J238">
            <v>120</v>
          </cell>
        </row>
        <row r="239">
          <cell r="B239" t="str">
            <v>Sulfur Mustard</v>
          </cell>
          <cell r="D239" t="str">
            <v/>
          </cell>
          <cell r="E239" t="str">
            <v/>
          </cell>
          <cell r="F239" t="str">
            <v/>
          </cell>
          <cell r="G239" t="str">
            <v/>
          </cell>
          <cell r="H239" t="str">
            <v/>
          </cell>
          <cell r="I239" t="str">
            <v/>
          </cell>
          <cell r="J239">
            <v>0.7</v>
          </cell>
        </row>
        <row r="240">
          <cell r="B240" t="str">
            <v>Sulfur trioxide</v>
          </cell>
          <cell r="D240" t="str">
            <v/>
          </cell>
          <cell r="E240">
            <v>1</v>
          </cell>
          <cell r="F240" t="str">
            <v/>
          </cell>
          <cell r="G240">
            <v>4.4000000000000004</v>
          </cell>
          <cell r="H240" t="str">
            <v/>
          </cell>
          <cell r="I240">
            <v>4.4000000000000004</v>
          </cell>
          <cell r="J240">
            <v>120</v>
          </cell>
        </row>
        <row r="241">
          <cell r="B241" t="str">
            <v>1,1,1,2-Tetrachloroethane</v>
          </cell>
          <cell r="D241">
            <v>0.14000000000000001</v>
          </cell>
          <cell r="E241" t="str">
            <v/>
          </cell>
          <cell r="F241">
            <v>3.5</v>
          </cell>
          <cell r="G241" t="str">
            <v/>
          </cell>
          <cell r="H241">
            <v>1.6</v>
          </cell>
          <cell r="I241" t="str">
            <v/>
          </cell>
          <cell r="J241" t="str">
            <v/>
          </cell>
        </row>
        <row r="242">
          <cell r="B242" t="str">
            <v>1,1,2,2-Tetrachloroethane</v>
          </cell>
          <cell r="D242">
            <v>1.7000000000000001E-2</v>
          </cell>
          <cell r="E242" t="str">
            <v/>
          </cell>
          <cell r="F242">
            <v>0.45</v>
          </cell>
          <cell r="G242" t="str">
            <v/>
          </cell>
          <cell r="H242">
            <v>0.21</v>
          </cell>
          <cell r="I242" t="str">
            <v/>
          </cell>
          <cell r="J242" t="str">
            <v/>
          </cell>
        </row>
        <row r="243">
          <cell r="B243" t="str">
            <v>Tetrachloroethene (Perchloroethylene)</v>
          </cell>
          <cell r="D243">
            <v>3.8</v>
          </cell>
          <cell r="E243">
            <v>41</v>
          </cell>
          <cell r="F243">
            <v>100</v>
          </cell>
          <cell r="G243">
            <v>180</v>
          </cell>
          <cell r="H243">
            <v>46</v>
          </cell>
          <cell r="I243">
            <v>180</v>
          </cell>
          <cell r="J243">
            <v>41</v>
          </cell>
        </row>
        <row r="244">
          <cell r="B244" t="str">
            <v>1,1,1,2-Tetrafluoroethane</v>
          </cell>
          <cell r="D244" t="str">
            <v/>
          </cell>
          <cell r="E244">
            <v>80000</v>
          </cell>
          <cell r="F244" t="str">
            <v/>
          </cell>
          <cell r="G244">
            <v>350000</v>
          </cell>
          <cell r="H244" t="str">
            <v/>
          </cell>
          <cell r="I244">
            <v>350000</v>
          </cell>
          <cell r="J244" t="str">
            <v/>
          </cell>
        </row>
        <row r="245">
          <cell r="B245" t="str">
            <v>Thioacetamide</v>
          </cell>
          <cell r="D245">
            <v>5.9000000000000003E-4</v>
          </cell>
          <cell r="E245" t="str">
            <v/>
          </cell>
          <cell r="F245">
            <v>1.4999999999999999E-2</v>
          </cell>
          <cell r="G245" t="str">
            <v/>
          </cell>
          <cell r="H245">
            <v>7.1000000000000004E-3</v>
          </cell>
          <cell r="I245" t="str">
            <v/>
          </cell>
          <cell r="J245" t="str">
            <v/>
          </cell>
        </row>
        <row r="246">
          <cell r="B246" t="str">
            <v>Titanium tetrachloride</v>
          </cell>
          <cell r="D246" t="str">
            <v/>
          </cell>
          <cell r="E246">
            <v>0.1</v>
          </cell>
          <cell r="F246" t="str">
            <v/>
          </cell>
          <cell r="G246">
            <v>0.44</v>
          </cell>
          <cell r="H246" t="str">
            <v/>
          </cell>
          <cell r="I246">
            <v>0.44</v>
          </cell>
          <cell r="J246">
            <v>10</v>
          </cell>
        </row>
        <row r="247">
          <cell r="B247" t="str">
            <v>Toluene</v>
          </cell>
          <cell r="D247" t="str">
            <v/>
          </cell>
          <cell r="E247">
            <v>5000</v>
          </cell>
          <cell r="F247" t="str">
            <v/>
          </cell>
          <cell r="G247">
            <v>22000</v>
          </cell>
          <cell r="H247" t="str">
            <v/>
          </cell>
          <cell r="I247">
            <v>22000</v>
          </cell>
          <cell r="J247">
            <v>7500</v>
          </cell>
        </row>
        <row r="248">
          <cell r="B248" t="str">
            <v>Toluene diisocyanates (2,4- and 2,6-)</v>
          </cell>
          <cell r="D248">
            <v>9.0999999999999998E-2</v>
          </cell>
          <cell r="E248">
            <v>2.1000000000000001E-2</v>
          </cell>
          <cell r="F248">
            <v>2.4</v>
          </cell>
          <cell r="G248">
            <v>9.1999999999999998E-2</v>
          </cell>
          <cell r="H248">
            <v>1.1000000000000001</v>
          </cell>
          <cell r="I248">
            <v>9.1999999999999998E-2</v>
          </cell>
          <cell r="J248">
            <v>7.0999999999999994E-2</v>
          </cell>
        </row>
        <row r="249">
          <cell r="B249" t="str">
            <v>Toxaphene (Polychlorinated camphenes)</v>
          </cell>
          <cell r="D249">
            <v>3.0999999999999999E-3</v>
          </cell>
          <cell r="E249" t="str">
            <v/>
          </cell>
          <cell r="F249">
            <v>8.1000000000000003E-2</v>
          </cell>
          <cell r="G249" t="str">
            <v/>
          </cell>
          <cell r="H249">
            <v>3.7999999999999999E-2</v>
          </cell>
          <cell r="I249" t="str">
            <v/>
          </cell>
          <cell r="J249" t="str">
            <v/>
          </cell>
        </row>
        <row r="250">
          <cell r="B250" t="str">
            <v>1,1,1-Trichloroethane (Methyl chloroform)</v>
          </cell>
          <cell r="D250" t="str">
            <v/>
          </cell>
          <cell r="E250">
            <v>5000</v>
          </cell>
          <cell r="F250" t="str">
            <v/>
          </cell>
          <cell r="G250">
            <v>22000</v>
          </cell>
          <cell r="H250" t="str">
            <v/>
          </cell>
          <cell r="I250">
            <v>22000</v>
          </cell>
          <cell r="J250">
            <v>11000</v>
          </cell>
        </row>
        <row r="251">
          <cell r="B251" t="str">
            <v>1,1,2-Trichloroethane (Vinyl trichloride)</v>
          </cell>
          <cell r="D251">
            <v>6.3E-2</v>
          </cell>
          <cell r="E251" t="str">
            <v/>
          </cell>
          <cell r="F251">
            <v>1.6</v>
          </cell>
          <cell r="G251" t="str">
            <v/>
          </cell>
          <cell r="H251">
            <v>0.75</v>
          </cell>
          <cell r="I251" t="str">
            <v/>
          </cell>
          <cell r="J251" t="str">
            <v/>
          </cell>
        </row>
        <row r="252">
          <cell r="B252" t="str">
            <v>Trichloroethene (TCE, Trichloroethylene)</v>
          </cell>
          <cell r="C252" t="str">
            <v>g</v>
          </cell>
          <cell r="D252">
            <v>0.2</v>
          </cell>
          <cell r="E252">
            <v>2.1</v>
          </cell>
          <cell r="F252">
            <v>3.5</v>
          </cell>
          <cell r="G252">
            <v>9.1999999999999993</v>
          </cell>
          <cell r="H252">
            <v>2.9</v>
          </cell>
          <cell r="I252">
            <v>9.1999999999999993</v>
          </cell>
          <cell r="J252">
            <v>2.1</v>
          </cell>
        </row>
        <row r="253">
          <cell r="B253" t="str">
            <v>2,4,6-Trichlorophenol</v>
          </cell>
          <cell r="D253">
            <v>0.05</v>
          </cell>
          <cell r="E253" t="str">
            <v/>
          </cell>
          <cell r="F253">
            <v>1.3</v>
          </cell>
          <cell r="G253" t="str">
            <v/>
          </cell>
          <cell r="H253">
            <v>0.6</v>
          </cell>
          <cell r="I253" t="str">
            <v/>
          </cell>
          <cell r="J253" t="str">
            <v/>
          </cell>
        </row>
        <row r="254">
          <cell r="B254" t="str">
            <v>1,2,3-Trichloropropane</v>
          </cell>
          <cell r="D254" t="str">
            <v/>
          </cell>
          <cell r="E254">
            <v>0.3</v>
          </cell>
          <cell r="F254" t="str">
            <v/>
          </cell>
          <cell r="G254">
            <v>1.3</v>
          </cell>
          <cell r="H254" t="str">
            <v/>
          </cell>
          <cell r="I254">
            <v>1.3</v>
          </cell>
          <cell r="J254">
            <v>1.8</v>
          </cell>
        </row>
        <row r="255">
          <cell r="B255" t="str">
            <v>Triethylamine</v>
          </cell>
          <cell r="D255" t="str">
            <v/>
          </cell>
          <cell r="E255">
            <v>200</v>
          </cell>
          <cell r="F255" t="str">
            <v/>
          </cell>
          <cell r="G255">
            <v>880</v>
          </cell>
          <cell r="H255" t="str">
            <v/>
          </cell>
          <cell r="I255">
            <v>880</v>
          </cell>
          <cell r="J255">
            <v>2800</v>
          </cell>
        </row>
        <row r="256">
          <cell r="B256" t="str">
            <v>1,2,3-Trimethylbenzene</v>
          </cell>
          <cell r="D256" t="str">
            <v/>
          </cell>
          <cell r="E256">
            <v>60</v>
          </cell>
          <cell r="F256" t="str">
            <v/>
          </cell>
          <cell r="G256">
            <v>260</v>
          </cell>
          <cell r="H256" t="str">
            <v/>
          </cell>
          <cell r="I256">
            <v>260</v>
          </cell>
          <cell r="J256" t="str">
            <v/>
          </cell>
        </row>
        <row r="257">
          <cell r="B257" t="str">
            <v>1,2,4-Trimethylbenzene</v>
          </cell>
          <cell r="D257" t="str">
            <v/>
          </cell>
          <cell r="E257">
            <v>60</v>
          </cell>
          <cell r="F257" t="str">
            <v/>
          </cell>
          <cell r="G257">
            <v>260</v>
          </cell>
          <cell r="H257" t="str">
            <v/>
          </cell>
          <cell r="I257">
            <v>260</v>
          </cell>
          <cell r="J257" t="str">
            <v/>
          </cell>
        </row>
        <row r="258">
          <cell r="B258" t="str">
            <v>1,3,5-Trimethylbenzene</v>
          </cell>
          <cell r="D258" t="str">
            <v/>
          </cell>
          <cell r="E258">
            <v>60</v>
          </cell>
          <cell r="F258" t="str">
            <v/>
          </cell>
          <cell r="G258">
            <v>260</v>
          </cell>
          <cell r="H258" t="str">
            <v/>
          </cell>
          <cell r="I258">
            <v>260</v>
          </cell>
          <cell r="J258" t="str">
            <v/>
          </cell>
        </row>
        <row r="259">
          <cell r="B259" t="str">
            <v>Urethane (Ethyl carbamate)</v>
          </cell>
          <cell r="C259" t="str">
            <v>g</v>
          </cell>
          <cell r="D259">
            <v>2E-3</v>
          </cell>
          <cell r="E259" t="str">
            <v/>
          </cell>
          <cell r="F259">
            <v>2.1000000000000001E-2</v>
          </cell>
          <cell r="G259" t="str">
            <v/>
          </cell>
          <cell r="H259">
            <v>4.1000000000000002E-2</v>
          </cell>
          <cell r="I259" t="str">
            <v/>
          </cell>
          <cell r="J259" t="str">
            <v/>
          </cell>
        </row>
        <row r="260">
          <cell r="B260" t="str">
            <v>Vanadium (fume or dust)</v>
          </cell>
          <cell r="D260" t="str">
            <v/>
          </cell>
          <cell r="E260">
            <v>0.1</v>
          </cell>
          <cell r="F260" t="str">
            <v/>
          </cell>
          <cell r="G260">
            <v>0.44</v>
          </cell>
          <cell r="H260" t="str">
            <v/>
          </cell>
          <cell r="I260">
            <v>0.44</v>
          </cell>
          <cell r="J260">
            <v>0.8</v>
          </cell>
        </row>
        <row r="261">
          <cell r="B261" t="str">
            <v>Vanadium pentoxide</v>
          </cell>
          <cell r="D261">
            <v>1.2E-4</v>
          </cell>
          <cell r="E261">
            <v>7.0000000000000001E-3</v>
          </cell>
          <cell r="F261">
            <v>3.0999999999999999E-3</v>
          </cell>
          <cell r="G261">
            <v>3.1E-2</v>
          </cell>
          <cell r="H261">
            <v>1.4E-3</v>
          </cell>
          <cell r="I261">
            <v>3.1E-2</v>
          </cell>
          <cell r="J261">
            <v>30</v>
          </cell>
        </row>
        <row r="262">
          <cell r="B262" t="str">
            <v>Vinyl acetate</v>
          </cell>
          <cell r="D262" t="str">
            <v/>
          </cell>
          <cell r="E262">
            <v>200</v>
          </cell>
          <cell r="F262" t="str">
            <v/>
          </cell>
          <cell r="G262">
            <v>880</v>
          </cell>
          <cell r="H262" t="str">
            <v/>
          </cell>
          <cell r="I262">
            <v>880</v>
          </cell>
          <cell r="J262">
            <v>200</v>
          </cell>
        </row>
        <row r="263">
          <cell r="B263" t="str">
            <v>Vinyl bromide</v>
          </cell>
          <cell r="D263" t="str">
            <v/>
          </cell>
          <cell r="E263">
            <v>3</v>
          </cell>
          <cell r="F263" t="str">
            <v/>
          </cell>
          <cell r="G263">
            <v>13</v>
          </cell>
          <cell r="H263" t="str">
            <v/>
          </cell>
          <cell r="I263">
            <v>13</v>
          </cell>
          <cell r="J263" t="str">
            <v/>
          </cell>
        </row>
        <row r="264">
          <cell r="B264" t="str">
            <v>Vinyl chloride</v>
          </cell>
          <cell r="C264" t="str">
            <v>g, k</v>
          </cell>
          <cell r="D264">
            <v>0.11</v>
          </cell>
          <cell r="E264">
            <v>100</v>
          </cell>
          <cell r="F264">
            <v>0.22</v>
          </cell>
          <cell r="G264">
            <v>440</v>
          </cell>
          <cell r="H264">
            <v>2.7</v>
          </cell>
          <cell r="I264">
            <v>440</v>
          </cell>
          <cell r="J264">
            <v>1300</v>
          </cell>
        </row>
        <row r="265">
          <cell r="B265" t="str">
            <v>Vinylidene chloride</v>
          </cell>
          <cell r="D265" t="str">
            <v/>
          </cell>
          <cell r="E265">
            <v>200</v>
          </cell>
          <cell r="F265" t="str">
            <v/>
          </cell>
          <cell r="G265">
            <v>880</v>
          </cell>
          <cell r="H265" t="str">
            <v/>
          </cell>
          <cell r="I265">
            <v>880</v>
          </cell>
          <cell r="J265">
            <v>200</v>
          </cell>
        </row>
        <row r="266">
          <cell r="B266" t="str">
            <v>Xylene (mixture), including m-xylene, o-xylene, p-xylene</v>
          </cell>
          <cell r="D266" t="str">
            <v/>
          </cell>
          <cell r="E266">
            <v>220</v>
          </cell>
          <cell r="F266" t="str">
            <v/>
          </cell>
          <cell r="G266">
            <v>970</v>
          </cell>
          <cell r="H266" t="str">
            <v/>
          </cell>
          <cell r="I266">
            <v>970</v>
          </cell>
          <cell r="J266">
            <v>8700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1"/>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urce Expansion &amp; NOx Reduct."/>
      <sheetName val="Source Consolidation"/>
      <sheetName val="Sources"/>
      <sheetName val="other source"/>
      <sheetName val="fugitive"/>
      <sheetName val="Furnace &amp; Heater"/>
      <sheetName val="tanks"/>
      <sheetName val="Decoke Drum"/>
    </sheetNames>
    <sheetDataSet>
      <sheetData sheetId="0" refreshError="1"/>
      <sheetData sheetId="1" refreshError="1"/>
      <sheetData sheetId="2" refreshError="1"/>
      <sheetData sheetId="3"/>
      <sheetData sheetId="4">
        <row r="6">
          <cell r="A6" t="str">
            <v>FUG-A10F</v>
          </cell>
          <cell r="B6" t="str">
            <v>FUG-A10F</v>
          </cell>
          <cell r="C6" t="str">
            <v>Analyzer Vents</v>
          </cell>
          <cell r="D6">
            <v>1</v>
          </cell>
          <cell r="E6">
            <v>95</v>
          </cell>
          <cell r="F6" t="str">
            <v>VOC</v>
          </cell>
          <cell r="G6">
            <v>1E-4</v>
          </cell>
          <cell r="H6">
            <v>4.0000000000000002E-4</v>
          </cell>
        </row>
        <row r="7">
          <cell r="A7" t="str">
            <v>FUG-V10F</v>
          </cell>
          <cell r="B7" t="str">
            <v>FUG-V10F</v>
          </cell>
          <cell r="C7" t="str">
            <v>General Fugitive</v>
          </cell>
          <cell r="D7">
            <v>1</v>
          </cell>
          <cell r="E7">
            <v>95</v>
          </cell>
          <cell r="F7" t="str">
            <v>VOC</v>
          </cell>
          <cell r="G7">
            <v>73.38</v>
          </cell>
          <cell r="H7">
            <v>317.37</v>
          </cell>
        </row>
        <row r="8">
          <cell r="A8" t="str">
            <v>FUG-A20F</v>
          </cell>
          <cell r="B8" t="str">
            <v>FUG-A 20F</v>
          </cell>
          <cell r="C8" t="str">
            <v>Analyzer Vents</v>
          </cell>
          <cell r="D8">
            <v>2</v>
          </cell>
          <cell r="E8">
            <v>2799</v>
          </cell>
          <cell r="F8" t="str">
            <v>VOC</v>
          </cell>
          <cell r="G8">
            <v>0</v>
          </cell>
          <cell r="H8">
            <v>4.0000000000000001E-3</v>
          </cell>
        </row>
        <row r="9">
          <cell r="A9" t="str">
            <v>FUG-V20F</v>
          </cell>
          <cell r="B9" t="str">
            <v>FUG-V20F</v>
          </cell>
          <cell r="C9" t="str">
            <v>General Fugitive</v>
          </cell>
          <cell r="D9">
            <v>2</v>
          </cell>
          <cell r="E9">
            <v>2799</v>
          </cell>
          <cell r="F9" t="str">
            <v>VOC</v>
          </cell>
          <cell r="G9">
            <v>80.400000000000006</v>
          </cell>
          <cell r="H9">
            <v>352.1</v>
          </cell>
        </row>
        <row r="10">
          <cell r="A10" t="str">
            <v>FUG-VSSH</v>
          </cell>
          <cell r="B10" t="str">
            <v>FUGVSSH</v>
          </cell>
          <cell r="C10" t="str">
            <v>Fugitives - 2nd Stage Hydrotreater facility</v>
          </cell>
          <cell r="D10" t="str">
            <v>1 &amp; 2</v>
          </cell>
          <cell r="E10">
            <v>5550</v>
          </cell>
          <cell r="F10" t="str">
            <v>VOC</v>
          </cell>
          <cell r="G10">
            <v>3.87</v>
          </cell>
          <cell r="H10">
            <v>16.97</v>
          </cell>
        </row>
        <row r="11">
          <cell r="A11" t="str">
            <v>FUG20FTF</v>
          </cell>
          <cell r="B11" t="str">
            <v>FUG20FTF</v>
          </cell>
          <cell r="C11" t="str">
            <v>Fugitives - pressure storage tanks</v>
          </cell>
          <cell r="D11">
            <v>2</v>
          </cell>
          <cell r="E11" t="str">
            <v>2866B</v>
          </cell>
          <cell r="F11" t="str">
            <v>VOC</v>
          </cell>
          <cell r="G11">
            <v>1.1299999999999999</v>
          </cell>
          <cell r="H11">
            <v>4.9400000000000004</v>
          </cell>
        </row>
        <row r="12">
          <cell r="A12" t="str">
            <v>FG10FACN</v>
          </cell>
          <cell r="B12" t="str">
            <v>FG10FACN</v>
          </cell>
          <cell r="C12" t="str">
            <v>Fugitives - (ACN Storage)</v>
          </cell>
          <cell r="D12">
            <v>1</v>
          </cell>
          <cell r="E12" t="str">
            <v>103A</v>
          </cell>
          <cell r="F12" t="str">
            <v>VOC</v>
          </cell>
          <cell r="G12">
            <v>0.13</v>
          </cell>
          <cell r="H12">
            <v>0.55000000000000004</v>
          </cell>
        </row>
        <row r="13">
          <cell r="A13" t="str">
            <v>FGF3901-1</v>
          </cell>
          <cell r="B13" t="str">
            <v>FGF3901</v>
          </cell>
          <cell r="C13" t="str">
            <v>Fugitives - (AF3901)</v>
          </cell>
          <cell r="D13" t="str">
            <v>1&amp;2</v>
          </cell>
          <cell r="E13">
            <v>3053</v>
          </cell>
          <cell r="F13" t="str">
            <v>Benzene</v>
          </cell>
          <cell r="G13">
            <v>0.02</v>
          </cell>
          <cell r="H13">
            <v>0.1</v>
          </cell>
        </row>
        <row r="14">
          <cell r="A14" t="str">
            <v>FGF3901-2</v>
          </cell>
          <cell r="B14" t="str">
            <v>FGF3901</v>
          </cell>
          <cell r="C14" t="str">
            <v>Fugitives - (AF3901)</v>
          </cell>
          <cell r="D14" t="str">
            <v>1&amp;2</v>
          </cell>
          <cell r="E14">
            <v>3053</v>
          </cell>
          <cell r="F14" t="str">
            <v>non-Benzene</v>
          </cell>
          <cell r="G14">
            <v>0.05</v>
          </cell>
          <cell r="H14">
            <v>0.22</v>
          </cell>
        </row>
        <row r="15">
          <cell r="A15" t="str">
            <v>Fug10ftf</v>
          </cell>
          <cell r="B15" t="str">
            <v>Fug10ftf</v>
          </cell>
          <cell r="C15" t="str">
            <v>Fugitives - pressure storage tanks</v>
          </cell>
          <cell r="D15">
            <v>1</v>
          </cell>
          <cell r="E15">
            <v>100</v>
          </cell>
          <cell r="F15" t="str">
            <v>VOC</v>
          </cell>
          <cell r="G15">
            <v>2.08</v>
          </cell>
          <cell r="H15">
            <v>9.02</v>
          </cell>
        </row>
        <row r="16">
          <cell r="A16" t="str">
            <v>FG107FATM</v>
          </cell>
          <cell r="B16" t="str">
            <v>FG107FATM</v>
          </cell>
          <cell r="C16" t="str">
            <v>Fugitives - Storage</v>
          </cell>
          <cell r="D16">
            <v>1</v>
          </cell>
          <cell r="E16">
            <v>103</v>
          </cell>
          <cell r="F16" t="str">
            <v>VOC</v>
          </cell>
          <cell r="G16">
            <v>0.7</v>
          </cell>
          <cell r="H16">
            <v>2.9</v>
          </cell>
        </row>
        <row r="17">
          <cell r="A17" t="str">
            <v>FG20FATM</v>
          </cell>
          <cell r="B17" t="str">
            <v>FG20FATM</v>
          </cell>
          <cell r="C17" t="str">
            <v>Fugitives - 2 osbl storage</v>
          </cell>
          <cell r="D17">
            <v>2</v>
          </cell>
          <cell r="E17" t="str">
            <v>2866A</v>
          </cell>
          <cell r="F17" t="str">
            <v>VOC</v>
          </cell>
          <cell r="G17">
            <v>0.35</v>
          </cell>
          <cell r="H17">
            <v>1.55</v>
          </cell>
        </row>
        <row r="18">
          <cell r="A18" t="str">
            <v>FUG-FTF-1</v>
          </cell>
          <cell r="B18" t="str">
            <v>FUG-FTF</v>
          </cell>
          <cell r="C18" t="str">
            <v>Tank Farm Fugitives</v>
          </cell>
          <cell r="E18" t="str">
            <v>new epn</v>
          </cell>
          <cell r="F18" t="str">
            <v>VOC</v>
          </cell>
          <cell r="G18">
            <v>4.4400000000000004</v>
          </cell>
          <cell r="H18">
            <v>19.179999999999996</v>
          </cell>
        </row>
        <row r="19">
          <cell r="A19" t="str">
            <v>FUG-FTF-2</v>
          </cell>
          <cell r="B19" t="str">
            <v>FUG-FTF</v>
          </cell>
          <cell r="C19" t="str">
            <v>Tank Farm Fugitives</v>
          </cell>
          <cell r="E19" t="str">
            <v>new epn</v>
          </cell>
          <cell r="F19" t="str">
            <v>Benzene</v>
          </cell>
          <cell r="G19">
            <v>0.02</v>
          </cell>
          <cell r="H19">
            <v>0.1</v>
          </cell>
        </row>
        <row r="20">
          <cell r="A20" t="str">
            <v>FUG-VBD</v>
          </cell>
          <cell r="B20" t="str">
            <v>Fugvbd</v>
          </cell>
          <cell r="C20" t="str">
            <v>Fugitive - Marine Dock</v>
          </cell>
          <cell r="E20">
            <v>488</v>
          </cell>
          <cell r="F20" t="str">
            <v>VOC</v>
          </cell>
          <cell r="G20">
            <v>0.64200000000000002</v>
          </cell>
          <cell r="H20">
            <v>2.81</v>
          </cell>
        </row>
        <row r="21">
          <cell r="A21" t="str">
            <v>FUG-VCM</v>
          </cell>
          <cell r="B21" t="str">
            <v>Fugvcm</v>
          </cell>
          <cell r="C21" t="str">
            <v>Fugitive - Metering Station</v>
          </cell>
          <cell r="E21">
            <v>490</v>
          </cell>
          <cell r="F21" t="str">
            <v>VOC</v>
          </cell>
          <cell r="G21">
            <v>2.96</v>
          </cell>
          <cell r="H21">
            <v>12.97</v>
          </cell>
        </row>
        <row r="22">
          <cell r="A22" t="str">
            <v>FUG-FTU</v>
          </cell>
          <cell r="B22" t="str">
            <v>FUG-FTU</v>
          </cell>
          <cell r="C22" t="str">
            <v>Facilitated Transport Unit fug</v>
          </cell>
          <cell r="D22">
            <v>2</v>
          </cell>
          <cell r="E22" t="str">
            <v>SE 106</v>
          </cell>
          <cell r="F22" t="str">
            <v>VOC</v>
          </cell>
          <cell r="G22">
            <v>0.02</v>
          </cell>
          <cell r="H22">
            <v>0.1</v>
          </cell>
        </row>
        <row r="23">
          <cell r="A23" t="str">
            <v>FUG-RAIL</v>
          </cell>
          <cell r="B23" t="str">
            <v>Fugrail</v>
          </cell>
          <cell r="C23" t="str">
            <v>Fugitive - rail piping</v>
          </cell>
          <cell r="E23">
            <v>491</v>
          </cell>
          <cell r="F23" t="str">
            <v>VOC</v>
          </cell>
          <cell r="G23">
            <v>0.93</v>
          </cell>
          <cell r="H23">
            <v>4.05</v>
          </cell>
        </row>
        <row r="24">
          <cell r="A24" t="str">
            <v>Fugrail</v>
          </cell>
          <cell r="B24" t="str">
            <v>Fugrail</v>
          </cell>
          <cell r="C24" t="str">
            <v>Fugitive - loading</v>
          </cell>
          <cell r="E24">
            <v>491</v>
          </cell>
          <cell r="F24" t="str">
            <v>VOC</v>
          </cell>
          <cell r="G24">
            <v>10.58</v>
          </cell>
          <cell r="H24">
            <v>1.1499999999999999</v>
          </cell>
        </row>
      </sheetData>
      <sheetData sheetId="5"/>
      <sheetData sheetId="6"/>
      <sheetData sheetId="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eam 1"/>
      <sheetName val="Stream 2"/>
      <sheetName val="Stream 3"/>
      <sheetName val="Stream 4"/>
      <sheetName val="Stream 5"/>
      <sheetName val="Stream 6"/>
      <sheetName val="Stream 7"/>
      <sheetName val="Stream 8"/>
      <sheetName val="Stream 9"/>
      <sheetName val="Stream 10"/>
      <sheetName val="Stream 11"/>
      <sheetName val="Table3-1Act"/>
      <sheetName val="Emissions Summary"/>
      <sheetName val="Furnace -avg annual"/>
      <sheetName val="Furnace - max hourly"/>
      <sheetName val="PermitCaseVOC"/>
      <sheetName val="PermitCaseNH3"/>
      <sheetName val="Vents"/>
      <sheetName val="CTWR"/>
      <sheetName val="Actuals"/>
      <sheetName val="Speci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1-1"/>
      <sheetName val="Table 1-2A"/>
      <sheetName val="Table 1-2B"/>
      <sheetName val="Table 1a -page 1"/>
      <sheetName val="Table 1a -page 1 (2)"/>
      <sheetName val="Table 1a -page 1 (3)"/>
      <sheetName val="Table 1a -page 1 (4)"/>
      <sheetName val="Table 1a - page 2"/>
      <sheetName val="Table 2_HU1"/>
      <sheetName val="HU1 Waste"/>
      <sheetName val="Table 2_HU3"/>
      <sheetName val="Table 2_HU4"/>
      <sheetName val="Table 6_231"/>
      <sheetName val="Table 6_HU3-R100"/>
      <sheetName val="Table 6_HU4-R100"/>
      <sheetName val="Table 7_DIESELTK"/>
      <sheetName val="Table 8_HU-FL"/>
      <sheetName val="231-Initial"/>
      <sheetName val="231-Final"/>
      <sheetName val="DIESELTK"/>
      <sheetName val="HU1-103-4D"/>
      <sheetName val="HU1-104L"/>
      <sheetName val="HU1-111F"/>
      <sheetName val="HU1-144F"/>
      <sheetName val="HU1-FUGIT-VOC"/>
      <sheetName val="HU1-FUGIT-NH3"/>
      <sheetName val="HU1-FUGIT-CO"/>
      <sheetName val="HU3-D155"/>
      <sheetName val="HU3-D800"/>
      <sheetName val="HU3-FUGIT-VOC"/>
      <sheetName val="HU3-FUGIT-NH3"/>
      <sheetName val="HU3-FUGIT-CO"/>
      <sheetName val="HU3-R100-hourly"/>
      <sheetName val="HU3-R100-annua1"/>
      <sheetName val="HU4-D155"/>
      <sheetName val="HU4-D800"/>
      <sheetName val="HU4-FUGIT-VOC"/>
      <sheetName val="HU4-FUGIT-NH3"/>
      <sheetName val="HU4-FUGIT-CO"/>
      <sheetName val="HU4-R100-hourly"/>
      <sheetName val="HU4-R100-annual"/>
      <sheetName val="HU-CWTR"/>
      <sheetName val="HU-FL"/>
      <sheetName val="Maintenance Summary"/>
      <sheetName val="HU1 Shutdown Summary"/>
      <sheetName val="HU1 SD - Reformer"/>
      <sheetName val="HU1 SD - Methanator Feed"/>
      <sheetName val="HU1 SD - Methanator Eff."/>
      <sheetName val="HU1 Startup Summary"/>
      <sheetName val="HU1 SU - Reformer"/>
      <sheetName val="HU1 SU - Warm-up Gas"/>
      <sheetName val="HU1 SU - Methanator Feed"/>
      <sheetName val="HU1 SU - Methanator Eff."/>
      <sheetName val="Level Cont. and Pump Maint."/>
      <sheetName val="HU3-HU4 Shutdown Summary"/>
      <sheetName val="HU3-HU4 PSA SD"/>
      <sheetName val="HU3-HU4 Tail Gas SD"/>
      <sheetName val="HU3-HU4 H2 SD"/>
      <sheetName val="HU3-HU4 Startup Summary"/>
      <sheetName val="HU3-HU4 PSA SU"/>
      <sheetName val="HU3-HU4 Tail Gas SU"/>
      <sheetName val="HU3-HU4 H2 SU"/>
      <sheetName val="HU3 -HU4 PSA Valve"/>
      <sheetName val="HU3-HU4 Tail Gas Valv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8 Att"/>
    </sheetNames>
    <sheetDataSet>
      <sheetData sheetId="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x"/>
      <sheetName val="CO"/>
      <sheetName val="VOC"/>
      <sheetName val="SO2"/>
      <sheetName val="PM10"/>
      <sheetName val="Resid"/>
      <sheetName val="Tot Furn"/>
      <sheetName val="Inc Furn"/>
      <sheetName val="WHB Sum"/>
      <sheetName val="C-A3-1"/>
      <sheetName val="H-A3-5"/>
      <sheetName val="F-63 New"/>
      <sheetName val="F-63 Exist"/>
      <sheetName val="F-63 Exist Bz"/>
      <sheetName val="H-A3-2"/>
      <sheetName val="H-A3-3"/>
      <sheetName val="H-A3-4"/>
      <sheetName val="Flare Pilots"/>
      <sheetName val="IFR"/>
      <sheetName val="F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7">
          <cell r="B7" t="str">
            <v>Tank No.</v>
          </cell>
          <cell r="D7" t="str">
            <v>Tank 29</v>
          </cell>
          <cell r="E7" t="str">
            <v>Tank 39</v>
          </cell>
          <cell r="F7" t="str">
            <v>Tank 46</v>
          </cell>
        </row>
        <row r="8">
          <cell r="B8" t="str">
            <v>Contents</v>
          </cell>
          <cell r="E8" t="str">
            <v>Methanol</v>
          </cell>
        </row>
        <row r="9">
          <cell r="A9" t="str">
            <v>Physical Parameters</v>
          </cell>
        </row>
        <row r="10">
          <cell r="A10" t="str">
            <v>D</v>
          </cell>
          <cell r="B10" t="str">
            <v>Diameter</v>
          </cell>
          <cell r="C10" t="str">
            <v>ft</v>
          </cell>
          <cell r="D10">
            <v>15</v>
          </cell>
          <cell r="E10">
            <v>9</v>
          </cell>
          <cell r="F10">
            <v>10</v>
          </cell>
        </row>
        <row r="11">
          <cell r="A11" t="str">
            <v>H</v>
          </cell>
          <cell r="B11" t="str">
            <v>Height</v>
          </cell>
          <cell r="C11" t="str">
            <v>ft</v>
          </cell>
          <cell r="D11">
            <v>16</v>
          </cell>
          <cell r="E11">
            <v>14</v>
          </cell>
          <cell r="F11">
            <v>18</v>
          </cell>
        </row>
        <row r="12">
          <cell r="A12" t="str">
            <v>V</v>
          </cell>
          <cell r="B12" t="str">
            <v>Volume</v>
          </cell>
          <cell r="C12" t="str">
            <v>bbl</v>
          </cell>
          <cell r="D12">
            <v>503.61931692857138</v>
          </cell>
          <cell r="E12">
            <v>158.64008483250001</v>
          </cell>
          <cell r="F12">
            <v>251.80965846428569</v>
          </cell>
        </row>
        <row r="13">
          <cell r="A13" t="str">
            <v>Hl</v>
          </cell>
          <cell r="B13" t="str">
            <v>Normal liquid height</v>
          </cell>
          <cell r="C13" t="str">
            <v>ft</v>
          </cell>
          <cell r="D13">
            <v>8</v>
          </cell>
          <cell r="E13">
            <v>7</v>
          </cell>
          <cell r="F13">
            <v>9</v>
          </cell>
        </row>
        <row r="14">
          <cell r="A14" t="str">
            <v>Hlx</v>
          </cell>
          <cell r="B14" t="str">
            <v>Maximum liquid height</v>
          </cell>
          <cell r="C14" t="str">
            <v>ft</v>
          </cell>
          <cell r="D14">
            <v>15</v>
          </cell>
          <cell r="E14">
            <v>13</v>
          </cell>
          <cell r="F14">
            <v>17</v>
          </cell>
        </row>
        <row r="15">
          <cell r="B15" t="str">
            <v>Cone or Dome roof</v>
          </cell>
          <cell r="D15" t="str">
            <v>C</v>
          </cell>
          <cell r="E15" t="str">
            <v>C</v>
          </cell>
          <cell r="F15" t="str">
            <v>C</v>
          </cell>
        </row>
        <row r="16">
          <cell r="A16" t="str">
            <v>Hro</v>
          </cell>
          <cell r="B16" t="str">
            <v>Height of roof outage</v>
          </cell>
          <cell r="C16" t="str">
            <v>ft</v>
          </cell>
          <cell r="D16">
            <v>0.15625</v>
          </cell>
          <cell r="E16">
            <v>9.375E-2</v>
          </cell>
          <cell r="F16">
            <v>0.10416666666666666</v>
          </cell>
        </row>
        <row r="17">
          <cell r="A17" t="str">
            <v>Hvo</v>
          </cell>
          <cell r="B17" t="str">
            <v>Vapor space height</v>
          </cell>
          <cell r="C17" t="str">
            <v>ft</v>
          </cell>
          <cell r="D17">
            <v>8.15625</v>
          </cell>
          <cell r="E17">
            <v>7.09375</v>
          </cell>
          <cell r="F17">
            <v>9.1041666666666661</v>
          </cell>
        </row>
        <row r="18">
          <cell r="A18" t="str">
            <v>Vv</v>
          </cell>
          <cell r="B18" t="str">
            <v>Vapor space volume</v>
          </cell>
          <cell r="C18" t="str">
            <v>ft3</v>
          </cell>
          <cell r="D18">
            <v>1441.3271308593751</v>
          </cell>
          <cell r="E18">
            <v>451.28449476562497</v>
          </cell>
          <cell r="F18">
            <v>715.03897395833326</v>
          </cell>
        </row>
        <row r="19">
          <cell r="A19" t="str">
            <v>Vlx</v>
          </cell>
          <cell r="B19" t="str">
            <v>Maximum liquid volume</v>
          </cell>
          <cell r="C19" t="str">
            <v>ft3</v>
          </cell>
          <cell r="D19">
            <v>2650.6406250000005</v>
          </cell>
          <cell r="E19">
            <v>826.99987499999997</v>
          </cell>
          <cell r="F19">
            <v>1335.1375</v>
          </cell>
        </row>
        <row r="20">
          <cell r="B20" t="str">
            <v>Paint color</v>
          </cell>
          <cell r="D20" t="str">
            <v>LT GRAY</v>
          </cell>
          <cell r="E20" t="str">
            <v>ALUM</v>
          </cell>
          <cell r="F20" t="str">
            <v>ALUM</v>
          </cell>
        </row>
        <row r="21">
          <cell r="A21" t="str">
            <v>a</v>
          </cell>
          <cell r="B21" t="str">
            <v>Paint solar absorbtance factor</v>
          </cell>
          <cell r="D21">
            <v>0.54</v>
          </cell>
          <cell r="E21">
            <v>0.6</v>
          </cell>
          <cell r="F21">
            <v>0.6</v>
          </cell>
        </row>
        <row r="22">
          <cell r="B22" t="str">
            <v>Tank construction</v>
          </cell>
          <cell r="D22" t="str">
            <v>WELDED</v>
          </cell>
          <cell r="E22" t="str">
            <v>RIVETED</v>
          </cell>
          <cell r="F22" t="str">
            <v>WELDED</v>
          </cell>
        </row>
        <row r="23">
          <cell r="A23" t="str">
            <v>DPb</v>
          </cell>
          <cell r="B23" t="str">
            <v>Breather vent pressure range</v>
          </cell>
          <cell r="C23" t="str">
            <v>psi</v>
          </cell>
          <cell r="D23">
            <v>0.06</v>
          </cell>
          <cell r="E23">
            <v>0.06</v>
          </cell>
          <cell r="F23">
            <v>0.06</v>
          </cell>
        </row>
        <row r="24">
          <cell r="A24" t="str">
            <v>Operational Parameters</v>
          </cell>
        </row>
        <row r="25">
          <cell r="A25" t="str">
            <v>Qa</v>
          </cell>
          <cell r="B25" t="str">
            <v>Annual throughput</v>
          </cell>
          <cell r="C25" t="str">
            <v>bbl/yr</v>
          </cell>
          <cell r="D25">
            <v>45.785714285714285</v>
          </cell>
          <cell r="E25">
            <v>142.85714285714286</v>
          </cell>
          <cell r="F25">
            <v>47.61904761904762</v>
          </cell>
        </row>
        <row r="26">
          <cell r="A26" t="str">
            <v>N</v>
          </cell>
          <cell r="B26" t="str">
            <v>Annual turnovers</v>
          </cell>
          <cell r="D26">
            <v>9.6973160969341124E-2</v>
          </cell>
          <cell r="E26">
            <v>0.96977040050943175</v>
          </cell>
          <cell r="F26">
            <v>0.20022906504635912</v>
          </cell>
        </row>
        <row r="27">
          <cell r="A27" t="str">
            <v>Kn</v>
          </cell>
          <cell r="B27" t="str">
            <v>Turnover factor</v>
          </cell>
          <cell r="D27">
            <v>1</v>
          </cell>
          <cell r="E27">
            <v>1</v>
          </cell>
          <cell r="F27">
            <v>1</v>
          </cell>
        </row>
        <row r="28">
          <cell r="A28" t="str">
            <v>Nd</v>
          </cell>
          <cell r="B28" t="str">
            <v>Number of days in service</v>
          </cell>
          <cell r="C28" t="str">
            <v>days</v>
          </cell>
          <cell r="D28" t="str">
            <v>365</v>
          </cell>
          <cell r="E28">
            <v>365</v>
          </cell>
          <cell r="F28">
            <v>365</v>
          </cell>
        </row>
        <row r="29">
          <cell r="A29" t="str">
            <v>Qo</v>
          </cell>
          <cell r="B29" t="str">
            <v>Ozone season daily throughput</v>
          </cell>
          <cell r="C29" t="str">
            <v>bbl/dy</v>
          </cell>
          <cell r="D29">
            <v>0.12544031311154599</v>
          </cell>
          <cell r="E29">
            <v>0.39138943248532293</v>
          </cell>
          <cell r="F29">
            <v>0.13046314416177429</v>
          </cell>
        </row>
        <row r="30">
          <cell r="A30" t="str">
            <v>To</v>
          </cell>
          <cell r="B30" t="str">
            <v>Ozone season average daily surface temperature</v>
          </cell>
          <cell r="C30" t="str">
            <v>F</v>
          </cell>
          <cell r="D30">
            <v>80</v>
          </cell>
          <cell r="E30">
            <v>90</v>
          </cell>
          <cell r="F30">
            <v>90</v>
          </cell>
        </row>
        <row r="31">
          <cell r="A31" t="str">
            <v>Ta</v>
          </cell>
          <cell r="B31" t="str">
            <v>Average surface temperature</v>
          </cell>
          <cell r="C31" t="str">
            <v>F</v>
          </cell>
          <cell r="D31">
            <v>70</v>
          </cell>
          <cell r="E31">
            <v>70</v>
          </cell>
          <cell r="F31">
            <v>70</v>
          </cell>
        </row>
        <row r="32">
          <cell r="B32" t="str">
            <v>Control device</v>
          </cell>
          <cell r="D32" t="str">
            <v>n/a</v>
          </cell>
          <cell r="E32" t="str">
            <v>n/a</v>
          </cell>
          <cell r="F32" t="str">
            <v>n/a</v>
          </cell>
        </row>
        <row r="33">
          <cell r="A33" t="str">
            <v>CE</v>
          </cell>
          <cell r="B33" t="str">
            <v>Control efficiency</v>
          </cell>
          <cell r="C33" t="str">
            <v>%</v>
          </cell>
          <cell r="D33">
            <v>0</v>
          </cell>
          <cell r="E33">
            <v>0</v>
          </cell>
          <cell r="F33">
            <v>0</v>
          </cell>
        </row>
        <row r="34">
          <cell r="A34" t="str">
            <v>Product Parameters</v>
          </cell>
        </row>
        <row r="35">
          <cell r="A35" t="str">
            <v>Kp</v>
          </cell>
          <cell r="B35" t="str">
            <v>Product factor</v>
          </cell>
          <cell r="D35">
            <v>1</v>
          </cell>
          <cell r="E35">
            <v>1</v>
          </cell>
          <cell r="F35">
            <v>1</v>
          </cell>
        </row>
        <row r="36">
          <cell r="A36" t="str">
            <v>DTv</v>
          </cell>
          <cell r="B36" t="str">
            <v>Daily vapor temperature range</v>
          </cell>
          <cell r="C36" t="str">
            <v>F</v>
          </cell>
          <cell r="D36">
            <v>35.038800000000002</v>
          </cell>
          <cell r="E36">
            <v>37.331999999999994</v>
          </cell>
          <cell r="F36">
            <v>37.331999999999994</v>
          </cell>
        </row>
        <row r="37">
          <cell r="A37" t="str">
            <v>Pvo</v>
          </cell>
          <cell r="B37" t="str">
            <v>Ozone season average daily vapor pressure</v>
          </cell>
          <cell r="C37" t="str">
            <v>psi</v>
          </cell>
          <cell r="D37">
            <v>8.174666984241945</v>
          </cell>
          <cell r="E37">
            <v>0.79126584391634991</v>
          </cell>
          <cell r="F37">
            <v>2.4429438708336262</v>
          </cell>
        </row>
        <row r="38">
          <cell r="A38" t="str">
            <v>Pva</v>
          </cell>
          <cell r="B38" t="str">
            <v>Average vapor pressure</v>
          </cell>
          <cell r="C38" t="str">
            <v>psi</v>
          </cell>
          <cell r="D38">
            <v>0.1</v>
          </cell>
          <cell r="E38">
            <v>0.1</v>
          </cell>
          <cell r="F38">
            <v>0.1</v>
          </cell>
        </row>
        <row r="39">
          <cell r="A39" t="str">
            <v>Pvdm</v>
          </cell>
          <cell r="B39" t="str">
            <v>Daily average maximum vapor pressure</v>
          </cell>
          <cell r="C39" t="str">
            <v>psi</v>
          </cell>
          <cell r="D39">
            <v>8.174666984241945</v>
          </cell>
          <cell r="E39">
            <v>0.79126584391634991</v>
          </cell>
          <cell r="F39">
            <v>2.4429438708336262</v>
          </cell>
        </row>
        <row r="40">
          <cell r="A40" t="str">
            <v>Pvdn</v>
          </cell>
          <cell r="B40" t="str">
            <v>Daily average minimum vapor pressure</v>
          </cell>
          <cell r="C40" t="str">
            <v>psi</v>
          </cell>
          <cell r="D40">
            <v>5.6149842166633253</v>
          </cell>
          <cell r="E40">
            <v>0.44830884169600693</v>
          </cell>
          <cell r="F40">
            <v>1.449092746198505</v>
          </cell>
        </row>
        <row r="41">
          <cell r="A41" t="str">
            <v>DPv</v>
          </cell>
          <cell r="B41" t="str">
            <v>Daily vapor pressure range</v>
          </cell>
          <cell r="C41" t="str">
            <v>psi</v>
          </cell>
          <cell r="D41">
            <v>2.5596827675786198</v>
          </cell>
          <cell r="E41">
            <v>0.34295700222034298</v>
          </cell>
          <cell r="F41">
            <v>0.99385112463512115</v>
          </cell>
        </row>
        <row r="42">
          <cell r="A42" t="str">
            <v>Mv</v>
          </cell>
          <cell r="B42" t="str">
            <v>Average vapor molecular weight</v>
          </cell>
          <cell r="C42" t="str">
            <v>lb/lbmol</v>
          </cell>
          <cell r="D42">
            <v>70</v>
          </cell>
          <cell r="E42">
            <v>32</v>
          </cell>
          <cell r="F42">
            <v>72</v>
          </cell>
        </row>
        <row r="43">
          <cell r="A43" t="str">
            <v>Wvo</v>
          </cell>
          <cell r="B43" t="str">
            <v>Ozone season vapor density</v>
          </cell>
          <cell r="C43" t="str">
            <v>lb/ft3</v>
          </cell>
          <cell r="D43">
            <v>9.8822531249041279E-2</v>
          </cell>
          <cell r="E43">
            <v>4.293243080272271E-3</v>
          </cell>
          <cell r="F43">
            <v>2.9823531353682813E-2</v>
          </cell>
        </row>
        <row r="44">
          <cell r="A44" t="str">
            <v>Wva</v>
          </cell>
          <cell r="B44" t="str">
            <v>Average vapor density</v>
          </cell>
          <cell r="C44" t="str">
            <v>lb/ft3</v>
          </cell>
          <cell r="D44">
            <v>1.231713974336993E-3</v>
          </cell>
          <cell r="E44">
            <v>5.6306924541119682E-4</v>
          </cell>
          <cell r="F44">
            <v>1.2669058021751928E-3</v>
          </cell>
        </row>
        <row r="45">
          <cell r="A45" t="str">
            <v>Keo</v>
          </cell>
          <cell r="B45" t="str">
            <v>Ozone season average vapor space expansion factor</v>
          </cell>
          <cell r="D45">
            <v>0.44800836006235301</v>
          </cell>
          <cell r="E45">
            <v>8.8269599874452931E-2</v>
          </cell>
          <cell r="F45">
            <v>0.14411462347401643</v>
          </cell>
        </row>
        <row r="46">
          <cell r="A46" t="str">
            <v>Kea</v>
          </cell>
          <cell r="B46" t="str">
            <v>Annual average vapor space expansion factor</v>
          </cell>
          <cell r="D46">
            <v>0.23737202459721957</v>
          </cell>
          <cell r="E46">
            <v>8.9871553146325681E-2</v>
          </cell>
          <cell r="F46">
            <v>0.13445334235281733</v>
          </cell>
        </row>
        <row r="47">
          <cell r="A47" t="str">
            <v>Ks</v>
          </cell>
          <cell r="B47" t="str">
            <v>Vented vapor saturation factor</v>
          </cell>
          <cell r="D47">
            <v>0.95856311389227555</v>
          </cell>
          <cell r="E47">
            <v>0.96376543154103078</v>
          </cell>
          <cell r="F47">
            <v>0.9539690079318548</v>
          </cell>
        </row>
        <row r="48">
          <cell r="A48" t="str">
            <v>Losses</v>
          </cell>
        </row>
        <row r="49">
          <cell r="A49" t="str">
            <v>Lso</v>
          </cell>
          <cell r="B49" t="str">
            <v>Ozone season daily standing loss (uncontrolled)</v>
          </cell>
          <cell r="C49" t="str">
            <v>lbs/dy</v>
          </cell>
          <cell r="D49">
            <v>61.16815296064695</v>
          </cell>
          <cell r="E49">
            <v>0.16482321979087972</v>
          </cell>
          <cell r="F49">
            <v>2.9317781078377689</v>
          </cell>
        </row>
        <row r="50">
          <cell r="A50" t="str">
            <v>Lwo</v>
          </cell>
          <cell r="B50" t="str">
            <v>Ozone season daily working loss (uncontrolled)</v>
          </cell>
          <cell r="C50" t="str">
            <v>lbs/dy</v>
          </cell>
          <cell r="D50">
            <v>7.1780295026014893E-2</v>
          </cell>
          <cell r="E50">
            <v>9.9101788670540904E-3</v>
          </cell>
          <cell r="F50">
            <v>2.2947417964777703E-2</v>
          </cell>
        </row>
        <row r="51">
          <cell r="A51" t="str">
            <v>Lto</v>
          </cell>
          <cell r="B51" t="str">
            <v>Total ozone season daily loss (uncontrolled)</v>
          </cell>
          <cell r="C51" t="str">
            <v>lbs/dy</v>
          </cell>
          <cell r="D51">
            <v>61.239933255672966</v>
          </cell>
          <cell r="E51">
            <v>0.1747333986579338</v>
          </cell>
          <cell r="F51">
            <v>2.9547255258025467</v>
          </cell>
        </row>
        <row r="52">
          <cell r="A52" t="str">
            <v>Ls</v>
          </cell>
          <cell r="B52" t="str">
            <v>Annual standing loss (uncontrolled)</v>
          </cell>
          <cell r="C52" t="str">
            <v>lbs/yr</v>
          </cell>
          <cell r="D52">
            <v>147.44007457852683</v>
          </cell>
          <cell r="E52">
            <v>8.0333867538676387</v>
          </cell>
          <cell r="F52">
            <v>42.410439418950943</v>
          </cell>
        </row>
        <row r="53">
          <cell r="A53" t="str">
            <v>Lw</v>
          </cell>
          <cell r="B53" t="str">
            <v>Annual working loss (uncontrolled)</v>
          </cell>
          <cell r="C53" t="str">
            <v>lbs/yr</v>
          </cell>
          <cell r="D53">
            <v>0.32050000000000006</v>
          </cell>
          <cell r="E53">
            <v>0.45714285714285718</v>
          </cell>
          <cell r="F53">
            <v>0.34285714285714292</v>
          </cell>
        </row>
        <row r="54">
          <cell r="A54" t="str">
            <v>Lt</v>
          </cell>
          <cell r="B54" t="str">
            <v>Total annual loss (uncontrolled)</v>
          </cell>
          <cell r="C54" t="str">
            <v>tons/yr</v>
          </cell>
          <cell r="D54">
            <v>7.3880287289263422E-2</v>
          </cell>
          <cell r="E54">
            <v>4.2452648055052479E-3</v>
          </cell>
          <cell r="F54">
            <v>2.1376648280904041E-2</v>
          </cell>
        </row>
        <row r="55">
          <cell r="A55" t="str">
            <v>Ltoc</v>
          </cell>
          <cell r="B55" t="str">
            <v>Total ozone season daily loss (controlled)</v>
          </cell>
          <cell r="C55" t="str">
            <v>lbs/dy</v>
          </cell>
          <cell r="D55">
            <v>61.239933255672966</v>
          </cell>
          <cell r="E55">
            <v>0.1747333986579338</v>
          </cell>
          <cell r="F55">
            <v>2.9547255258025467</v>
          </cell>
        </row>
        <row r="56">
          <cell r="A56" t="str">
            <v>Ltc</v>
          </cell>
          <cell r="B56" t="str">
            <v>Total annual loss (controlled)</v>
          </cell>
          <cell r="C56" t="str">
            <v>tons/yr</v>
          </cell>
          <cell r="D56">
            <v>7.3880287289263422E-2</v>
          </cell>
          <cell r="E56">
            <v>4.2452648055052479E-3</v>
          </cell>
          <cell r="F56">
            <v>2.1376648280904041E-2</v>
          </cell>
        </row>
        <row r="57">
          <cell r="B57" t="str">
            <v>Average hourly loss (controlled)</v>
          </cell>
          <cell r="C57" t="str">
            <v>lb/hr</v>
          </cell>
          <cell r="D57">
            <v>1.6867645499831833E-2</v>
          </cell>
          <cell r="E57">
            <v>9.6923854006969131E-4</v>
          </cell>
          <cell r="F57">
            <v>4.8805133061424755E-3</v>
          </cell>
        </row>
        <row r="59">
          <cell r="A59" t="str">
            <v>I</v>
          </cell>
          <cell r="B59" t="str">
            <v>Solar insolation factor</v>
          </cell>
          <cell r="C59">
            <v>1365</v>
          </cell>
          <cell r="D59" t="str">
            <v>Btu/ft2-day</v>
          </cell>
        </row>
        <row r="60">
          <cell r="A60" t="str">
            <v>DTa</v>
          </cell>
          <cell r="B60" t="str">
            <v>Daily average ambient temperature range</v>
          </cell>
          <cell r="C60">
            <v>20</v>
          </cell>
          <cell r="D60" t="str">
            <v>F</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I Reporting Form"/>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hyperlink" Target="https://pubchem.ncbi.nlm.nih.gov/compound/8133" TargetMode="External"/><Relationship Id="rId2" Type="http://schemas.openxmlformats.org/officeDocument/2006/relationships/hyperlink" Target="https://pubchem.ncbi.nlm.nih.gov/compound/6568" TargetMode="External"/><Relationship Id="rId1" Type="http://schemas.openxmlformats.org/officeDocument/2006/relationships/hyperlink" Target="https://pubchem.ncbi.nlm.nih.gov/compound/1-Methoxy-2-propanol" TargetMode="External"/><Relationship Id="rId6" Type="http://schemas.openxmlformats.org/officeDocument/2006/relationships/comments" Target="../comments7.xml"/><Relationship Id="rId5" Type="http://schemas.openxmlformats.org/officeDocument/2006/relationships/vmlDrawing" Target="../drawings/vmlDrawing7.vml"/><Relationship Id="rId4"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DB838-7CEF-AB44-8B50-B21250797418}">
  <sheetPr>
    <pageSetUpPr fitToPage="1"/>
  </sheetPr>
  <dimension ref="A2:I29"/>
  <sheetViews>
    <sheetView workbookViewId="0">
      <selection activeCell="G13" sqref="G13"/>
    </sheetView>
  </sheetViews>
  <sheetFormatPr baseColWidth="10" defaultRowHeight="16" x14ac:dyDescent="0.2"/>
  <cols>
    <col min="1" max="1" width="22" customWidth="1"/>
    <col min="2" max="2" width="9.6640625" customWidth="1"/>
    <col min="3" max="3" width="13.5" customWidth="1"/>
    <col min="4" max="4" width="13.33203125" customWidth="1"/>
    <col min="5" max="5" width="14.33203125" customWidth="1"/>
    <col min="6" max="6" width="12" customWidth="1"/>
    <col min="8" max="8" width="12.33203125" customWidth="1"/>
    <col min="9" max="9" width="13.6640625" customWidth="1"/>
    <col min="10" max="10" width="13.83203125" customWidth="1"/>
    <col min="11" max="11" width="9.1640625" customWidth="1"/>
    <col min="12" max="12" width="11.83203125" customWidth="1"/>
    <col min="13" max="13" width="10" customWidth="1"/>
  </cols>
  <sheetData>
    <row r="2" spans="1:9" x14ac:dyDescent="0.2">
      <c r="C2" s="129"/>
      <c r="H2" s="71"/>
    </row>
    <row r="3" spans="1:9" ht="21" x14ac:dyDescent="0.25">
      <c r="A3" s="4" t="s">
        <v>298</v>
      </c>
      <c r="C3" s="129"/>
      <c r="H3" s="71"/>
    </row>
    <row r="4" spans="1:9" x14ac:dyDescent="0.2">
      <c r="C4" s="129"/>
      <c r="H4" s="71"/>
    </row>
    <row r="5" spans="1:9" x14ac:dyDescent="0.2">
      <c r="A5" s="266" t="s">
        <v>76</v>
      </c>
      <c r="B5" s="267"/>
      <c r="C5" s="263" t="s">
        <v>276</v>
      </c>
      <c r="D5" s="264"/>
      <c r="E5" s="264"/>
      <c r="F5" s="264"/>
      <c r="G5" s="264"/>
      <c r="H5" s="264"/>
      <c r="I5" s="265"/>
    </row>
    <row r="6" spans="1:9" ht="51" x14ac:dyDescent="0.2">
      <c r="A6" s="268"/>
      <c r="B6" s="269"/>
      <c r="C6" s="177" t="s">
        <v>277</v>
      </c>
      <c r="D6" s="177" t="s">
        <v>285</v>
      </c>
      <c r="E6" s="185" t="s">
        <v>278</v>
      </c>
      <c r="F6" s="185" t="s">
        <v>279</v>
      </c>
      <c r="G6" s="185" t="s">
        <v>280</v>
      </c>
      <c r="H6" s="185" t="s">
        <v>376</v>
      </c>
      <c r="I6" s="189" t="s">
        <v>270</v>
      </c>
    </row>
    <row r="7" spans="1:9" x14ac:dyDescent="0.2">
      <c r="A7" s="183" t="s">
        <v>78</v>
      </c>
      <c r="B7" s="171" t="s">
        <v>269</v>
      </c>
      <c r="C7" s="54">
        <f>'1Pretreatment Heater H2'!C25</f>
        <v>0.38647058823529412</v>
      </c>
      <c r="D7" s="53">
        <f>'2Coating Oven Burner H3'!C23</f>
        <v>1.7176470588235293</v>
      </c>
      <c r="E7" s="54"/>
      <c r="F7" s="54"/>
      <c r="G7" s="54"/>
      <c r="H7" s="54"/>
      <c r="I7" s="53">
        <f>SUM(C7:H7)</f>
        <v>2.1041176470588234</v>
      </c>
    </row>
    <row r="8" spans="1:9" x14ac:dyDescent="0.2">
      <c r="A8" s="165" t="s">
        <v>79</v>
      </c>
      <c r="B8" s="171" t="s">
        <v>269</v>
      </c>
      <c r="C8" s="54">
        <f>'1Pretreatment Heater H2'!C26</f>
        <v>0.32463529411764702</v>
      </c>
      <c r="D8" s="53">
        <f>'2Coating Oven Burner H3'!C24</f>
        <v>1.4428235294117646</v>
      </c>
      <c r="E8" s="54"/>
      <c r="F8" s="54"/>
      <c r="G8" s="54"/>
      <c r="H8" s="54"/>
      <c r="I8" s="53">
        <f t="shared" ref="I8:I14" si="0">SUM(C8:H8)</f>
        <v>1.7674588235294117</v>
      </c>
    </row>
    <row r="9" spans="1:9" x14ac:dyDescent="0.2">
      <c r="A9" s="165" t="s">
        <v>80</v>
      </c>
      <c r="B9" s="171" t="s">
        <v>269</v>
      </c>
      <c r="C9" s="54">
        <f>'1Pretreatment Heater H2'!C27</f>
        <v>2.1255882352941177E-2</v>
      </c>
      <c r="D9" s="53">
        <f>'2Coating Oven Burner H3'!C25</f>
        <v>9.4470588235294112E-2</v>
      </c>
      <c r="E9" s="53">
        <f>'3Coating Oven (CO1)'!I26</f>
        <v>19.918549355135998</v>
      </c>
      <c r="F9" s="53"/>
      <c r="G9" s="54"/>
      <c r="H9" s="54"/>
      <c r="I9" s="53">
        <f t="shared" si="0"/>
        <v>20.034275825724233</v>
      </c>
    </row>
    <row r="10" spans="1:9" x14ac:dyDescent="0.2">
      <c r="A10" s="165" t="s">
        <v>81</v>
      </c>
      <c r="B10" s="171" t="s">
        <v>269</v>
      </c>
      <c r="C10" s="54">
        <f>'1Pretreatment Heater H2'!C28</f>
        <v>9.6617647058823541E-3</v>
      </c>
      <c r="D10" s="53">
        <f>'2Coating Oven Burner H3'!C26</f>
        <v>4.2941176470588233E-2</v>
      </c>
      <c r="E10" s="54"/>
      <c r="F10" s="54"/>
      <c r="G10" s="54">
        <f>'5Welding (W1)'!D21</f>
        <v>1.8252000000000032E-2</v>
      </c>
      <c r="H10" s="54">
        <f>'Laser Cutters (L1)'!R10</f>
        <v>5.6359519565669345</v>
      </c>
      <c r="I10" s="53">
        <f t="shared" si="0"/>
        <v>5.7068068977434052</v>
      </c>
    </row>
    <row r="11" spans="1:9" x14ac:dyDescent="0.2">
      <c r="A11" s="179" t="s">
        <v>82</v>
      </c>
      <c r="B11" s="171" t="s">
        <v>269</v>
      </c>
      <c r="C11" s="54">
        <f>'1Pretreatment Heater H2'!C29</f>
        <v>1.0048235294117648E-2</v>
      </c>
      <c r="D11" s="53">
        <f>'2Coating Oven Burner H3'!C27</f>
        <v>4.4658823529411765E-2</v>
      </c>
      <c r="E11" s="54"/>
      <c r="F11" s="54"/>
      <c r="G11" s="54"/>
      <c r="H11" s="54"/>
      <c r="I11" s="53">
        <f t="shared" si="0"/>
        <v>5.4707058823529414E-2</v>
      </c>
    </row>
    <row r="12" spans="1:9" x14ac:dyDescent="0.2">
      <c r="A12" s="156" t="s">
        <v>86</v>
      </c>
      <c r="B12" s="171" t="s">
        <v>269</v>
      </c>
      <c r="C12" s="53">
        <f>'1Pretreatment Heater H2'!C35</f>
        <v>461.60012038219196</v>
      </c>
      <c r="D12" s="181">
        <f>'2Coating Oven Burner H3'!C32</f>
        <v>2051.55609058752</v>
      </c>
      <c r="E12" s="48"/>
      <c r="F12" s="48"/>
      <c r="G12" s="48"/>
      <c r="H12" s="48"/>
      <c r="I12" s="53">
        <f t="shared" si="0"/>
        <v>2513.156210969712</v>
      </c>
    </row>
    <row r="13" spans="1:9" x14ac:dyDescent="0.2">
      <c r="A13" s="156" t="s">
        <v>275</v>
      </c>
      <c r="B13" s="174" t="s">
        <v>61</v>
      </c>
      <c r="C13" s="53">
        <f>'1Pretreatment Heater H2'!J68</f>
        <v>0.91254362823529234</v>
      </c>
      <c r="D13" s="140">
        <f>'2Coating Oven Burner H3'!I65</f>
        <v>4.0557494588235468</v>
      </c>
      <c r="E13" s="140">
        <f>'3Coating Oven (CO1)'!K35</f>
        <v>0</v>
      </c>
      <c r="F13" s="140">
        <f>'4Coating Line Baths (CL1)'!V31+'4Coating Line Baths (CL1)'!V35+'4Coating Line Baths (CL1)'!S86</f>
        <v>2.3337522756540308</v>
      </c>
      <c r="G13" s="53">
        <f>'5Welding (W1)'!H32</f>
        <v>2.2534200000000033</v>
      </c>
      <c r="H13" s="53">
        <f>'Laser Cutters (L1)'!K22</f>
        <v>25.118448831496089</v>
      </c>
      <c r="I13" s="53">
        <f t="shared" si="0"/>
        <v>34.673914194208962</v>
      </c>
    </row>
    <row r="14" spans="1:9" x14ac:dyDescent="0.2">
      <c r="A14" s="156" t="s">
        <v>273</v>
      </c>
      <c r="B14" s="174" t="s">
        <v>61</v>
      </c>
      <c r="C14" s="53">
        <f>'1Pretreatment Heater H2'!H68</f>
        <v>25.941924804705881</v>
      </c>
      <c r="D14" s="140">
        <f>'2Coating Oven Burner H3'!G65</f>
        <v>115.29744357647061</v>
      </c>
      <c r="E14" s="140">
        <f>'3Coating Oven (CO1)'!G35</f>
        <v>41045.853968160001</v>
      </c>
      <c r="F14" s="140">
        <f>'4Coating Line Baths (CL1)'!Q86</f>
        <v>4601.5853169794063</v>
      </c>
      <c r="G14" s="53">
        <f>'5Welding (W1)'!F32</f>
        <v>2.2534200000000033</v>
      </c>
      <c r="H14" s="53">
        <f>'Laser Cutters (L1)'!I23</f>
        <v>475.37225093267762</v>
      </c>
      <c r="I14" s="53">
        <f t="shared" si="0"/>
        <v>46266.30432445326</v>
      </c>
    </row>
    <row r="15" spans="1:9" x14ac:dyDescent="0.2">
      <c r="A15" t="s">
        <v>271</v>
      </c>
    </row>
    <row r="20" spans="1:8" ht="21" x14ac:dyDescent="0.25">
      <c r="A20" s="4" t="s">
        <v>297</v>
      </c>
    </row>
    <row r="21" spans="1:8" ht="21" x14ac:dyDescent="0.25">
      <c r="A21" s="4"/>
      <c r="H21" s="71"/>
    </row>
    <row r="22" spans="1:8" x14ac:dyDescent="0.2">
      <c r="C22" s="263" t="s">
        <v>286</v>
      </c>
      <c r="D22" s="264"/>
      <c r="E22" s="264"/>
      <c r="F22" s="264"/>
      <c r="G22" s="265"/>
      <c r="H22" s="8"/>
    </row>
    <row r="23" spans="1:8" ht="85" x14ac:dyDescent="0.2">
      <c r="A23" s="270" t="s">
        <v>76</v>
      </c>
      <c r="B23" s="271"/>
      <c r="C23" s="184" t="s">
        <v>283</v>
      </c>
      <c r="D23" s="172" t="s">
        <v>281</v>
      </c>
      <c r="E23" s="176" t="s">
        <v>282</v>
      </c>
      <c r="F23" s="175" t="s">
        <v>284</v>
      </c>
      <c r="G23" s="185" t="s">
        <v>272</v>
      </c>
      <c r="H23" s="9"/>
    </row>
    <row r="24" spans="1:8" x14ac:dyDescent="0.2">
      <c r="A24" s="183" t="s">
        <v>78</v>
      </c>
      <c r="B24" s="190" t="s">
        <v>269</v>
      </c>
      <c r="C24" s="178">
        <f>'6Condensing Boiler (B1)'!C23</f>
        <v>2.7482352941176468E-2</v>
      </c>
      <c r="D24" s="54">
        <f>'7Building F Domestic HWH (B2)'!C23</f>
        <v>8.2447058823529405E-3</v>
      </c>
      <c r="E24" s="54">
        <f>'8Pretreatment Heater H1'!C23</f>
        <v>0.38647058823529412</v>
      </c>
      <c r="F24" s="54">
        <f>'9IR Heaters (H4)'!C23</f>
        <v>2.3188235294117647</v>
      </c>
      <c r="G24" s="53">
        <f>SUM(C24:F24)</f>
        <v>2.7410211764705883</v>
      </c>
      <c r="H24" s="180"/>
    </row>
    <row r="25" spans="1:8" x14ac:dyDescent="0.2">
      <c r="A25" s="165" t="s">
        <v>79</v>
      </c>
      <c r="B25" s="173" t="s">
        <v>269</v>
      </c>
      <c r="C25" s="178">
        <f>'6Condensing Boiler (B1)'!C24</f>
        <v>2.3085176470588234E-2</v>
      </c>
      <c r="D25" s="54">
        <f>'7Building F Domestic HWH (B2)'!C24</f>
        <v>6.9255529411764707E-3</v>
      </c>
      <c r="E25" s="54">
        <f>'8Pretreatment Heater H1'!C24</f>
        <v>0.32463529411764702</v>
      </c>
      <c r="F25" s="54">
        <f>'9IR Heaters (H4)'!C24</f>
        <v>1.9478117647058824</v>
      </c>
      <c r="G25" s="53">
        <f t="shared" ref="G25:G29" si="1">SUM(C25:F25)</f>
        <v>2.3024577882352939</v>
      </c>
      <c r="H25" s="180"/>
    </row>
    <row r="26" spans="1:8" x14ac:dyDescent="0.2">
      <c r="A26" s="165" t="s">
        <v>80</v>
      </c>
      <c r="B26" s="173" t="s">
        <v>269</v>
      </c>
      <c r="C26" s="178">
        <f>'6Condensing Boiler (B1)'!C25</f>
        <v>1.5115294117647058E-3</v>
      </c>
      <c r="D26" s="55">
        <f>'7Building F Domestic HWH (B2)'!C25</f>
        <v>4.5345882352941183E-4</v>
      </c>
      <c r="E26" s="54">
        <f>'8Pretreatment Heater H1'!C25</f>
        <v>2.1255882352941177E-2</v>
      </c>
      <c r="F26" s="54">
        <f>'9IR Heaters (H4)'!C25</f>
        <v>0.12753529411764705</v>
      </c>
      <c r="G26" s="53">
        <f t="shared" si="1"/>
        <v>0.15075616470588235</v>
      </c>
      <c r="H26" s="180"/>
    </row>
    <row r="27" spans="1:8" x14ac:dyDescent="0.2">
      <c r="A27" s="179" t="s">
        <v>81</v>
      </c>
      <c r="B27" s="173" t="s">
        <v>269</v>
      </c>
      <c r="C27" s="178">
        <f>'6Condensing Boiler (B1)'!C26</f>
        <v>6.870588235294117E-4</v>
      </c>
      <c r="D27" s="55">
        <f>'7Building F Domestic HWH (B2)'!C26</f>
        <v>2.0611764705882353E-4</v>
      </c>
      <c r="E27" s="54">
        <f>'8Pretreatment Heater H1'!C26</f>
        <v>9.6617647058823541E-3</v>
      </c>
      <c r="F27" s="54">
        <f>'9IR Heaters (H4)'!C26</f>
        <v>5.7970588235294114E-2</v>
      </c>
      <c r="G27" s="53">
        <f t="shared" si="1"/>
        <v>6.8525529411764707E-2</v>
      </c>
      <c r="H27" s="180"/>
    </row>
    <row r="28" spans="1:8" x14ac:dyDescent="0.2">
      <c r="A28" s="48" t="s">
        <v>82</v>
      </c>
      <c r="B28" s="173" t="s">
        <v>269</v>
      </c>
      <c r="C28" s="178">
        <f>'6Condensing Boiler (B1)'!C27</f>
        <v>7.1454117647058821E-4</v>
      </c>
      <c r="D28" s="55">
        <f>'7Building F Domestic HWH (B2)'!C27</f>
        <v>2.1436235294117648E-4</v>
      </c>
      <c r="E28" s="54">
        <f>'8Pretreatment Heater H1'!C27</f>
        <v>1.0048235294117648E-2</v>
      </c>
      <c r="F28" s="54">
        <f>'9IR Heaters (H4)'!C27</f>
        <v>6.0289411764705883E-2</v>
      </c>
      <c r="G28" s="53">
        <f t="shared" si="1"/>
        <v>7.1266550588235292E-2</v>
      </c>
      <c r="H28" s="180"/>
    </row>
    <row r="29" spans="1:8" x14ac:dyDescent="0.2">
      <c r="A29" s="156" t="s">
        <v>86</v>
      </c>
      <c r="B29" s="193" t="s">
        <v>269</v>
      </c>
      <c r="C29" s="53">
        <f>'6Condensing Boiler (B1)'!C32</f>
        <v>32.824897449400318</v>
      </c>
      <c r="D29" s="53">
        <f>'7Building F Domestic HWH (B2)'!C32</f>
        <v>9.8474692348200961</v>
      </c>
      <c r="E29" s="53">
        <f>'8Pretreatment Heater H1'!C32</f>
        <v>461.60012038219196</v>
      </c>
      <c r="F29" s="53">
        <f>'9IR Heaters (H4)'!C32</f>
        <v>2769.6007222931516</v>
      </c>
      <c r="G29" s="53">
        <f t="shared" si="1"/>
        <v>3273.873209359564</v>
      </c>
    </row>
  </sheetData>
  <mergeCells count="4">
    <mergeCell ref="C22:G22"/>
    <mergeCell ref="A5:B6"/>
    <mergeCell ref="A23:B23"/>
    <mergeCell ref="C5:I5"/>
  </mergeCells>
  <pageMargins left="0.7" right="0.7" top="0.75" bottom="0.75" header="0.3" footer="0.3"/>
  <pageSetup scale="78" orientation="portrait" horizontalDpi="0" verticalDpi="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0CABC-C940-9542-8AA1-D949AB664816}">
  <sheetPr>
    <tabColor rgb="FF008000"/>
    <pageSetUpPr fitToPage="1"/>
  </sheetPr>
  <dimension ref="A1:K216"/>
  <sheetViews>
    <sheetView topLeftCell="A36" zoomScale="84" zoomScaleNormal="84" workbookViewId="0">
      <selection activeCell="K47" sqref="K47"/>
    </sheetView>
  </sheetViews>
  <sheetFormatPr baseColWidth="10" defaultColWidth="11" defaultRowHeight="16" x14ac:dyDescent="0.2"/>
  <cols>
    <col min="1" max="1" width="35.5" customWidth="1"/>
    <col min="2" max="2" width="15.83203125" customWidth="1"/>
    <col min="3" max="3" width="15.33203125" customWidth="1"/>
    <col min="4" max="10" width="9.6640625" customWidth="1"/>
    <col min="13" max="13" width="12.6640625" customWidth="1"/>
    <col min="14" max="14" width="14" customWidth="1"/>
  </cols>
  <sheetData>
    <row r="1" spans="1:11" ht="21" x14ac:dyDescent="0.25">
      <c r="A1" s="10"/>
      <c r="B1" s="11"/>
      <c r="C1" s="12"/>
      <c r="D1" s="12"/>
      <c r="E1" s="12"/>
      <c r="F1" s="13"/>
    </row>
    <row r="3" spans="1:11" x14ac:dyDescent="0.2">
      <c r="A3" s="14"/>
    </row>
    <row r="4" spans="1:11" ht="18" x14ac:dyDescent="0.2">
      <c r="A4" s="15" t="s">
        <v>293</v>
      </c>
    </row>
    <row r="6" spans="1:11" s="20" customFormat="1" x14ac:dyDescent="0.2">
      <c r="A6" s="16" t="s">
        <v>288</v>
      </c>
      <c r="B6" s="17">
        <v>1</v>
      </c>
      <c r="C6" s="18"/>
      <c r="D6" s="19"/>
      <c r="F6"/>
      <c r="G6"/>
      <c r="H6"/>
      <c r="I6"/>
      <c r="J6"/>
      <c r="K6"/>
    </row>
    <row r="7" spans="1:11" s="20" customFormat="1" x14ac:dyDescent="0.2">
      <c r="A7" s="18" t="s">
        <v>63</v>
      </c>
      <c r="B7" s="21">
        <v>1.6</v>
      </c>
      <c r="C7" s="18" t="s">
        <v>64</v>
      </c>
      <c r="D7" s="19"/>
      <c r="F7" s="66" t="s">
        <v>135</v>
      </c>
      <c r="G7"/>
      <c r="H7"/>
      <c r="I7"/>
      <c r="J7"/>
      <c r="K7"/>
    </row>
    <row r="8" spans="1:11" x14ac:dyDescent="0.2">
      <c r="A8" s="18" t="s">
        <v>65</v>
      </c>
      <c r="B8" s="22">
        <v>1020</v>
      </c>
      <c r="C8" t="s">
        <v>66</v>
      </c>
    </row>
    <row r="9" spans="1:11" x14ac:dyDescent="0.2">
      <c r="A9" s="18" t="s">
        <v>67</v>
      </c>
      <c r="B9" s="22">
        <v>24</v>
      </c>
    </row>
    <row r="10" spans="1:11" x14ac:dyDescent="0.2">
      <c r="A10" s="18" t="s">
        <v>68</v>
      </c>
      <c r="B10" s="17">
        <v>8760</v>
      </c>
    </row>
    <row r="11" spans="1:11" x14ac:dyDescent="0.2">
      <c r="A11" s="18" t="s">
        <v>130</v>
      </c>
      <c r="B11" s="23">
        <v>0.04</v>
      </c>
      <c r="F11" s="66" t="s">
        <v>139</v>
      </c>
    </row>
    <row r="12" spans="1:11" ht="15.75" customHeight="1" x14ac:dyDescent="0.2">
      <c r="A12" s="18" t="s">
        <v>69</v>
      </c>
      <c r="B12" s="24">
        <f>B6*B7*B10*B11</f>
        <v>560.64</v>
      </c>
      <c r="C12" t="s">
        <v>70</v>
      </c>
      <c r="D12" s="25"/>
    </row>
    <row r="13" spans="1:11" ht="15.75" customHeight="1" x14ac:dyDescent="0.2">
      <c r="A13" s="18" t="s">
        <v>69</v>
      </c>
      <c r="B13" s="150">
        <f>B12/B8</f>
        <v>0.54964705882352938</v>
      </c>
      <c r="C13" t="s">
        <v>71</v>
      </c>
      <c r="D13" s="25"/>
    </row>
    <row r="14" spans="1:11" x14ac:dyDescent="0.2">
      <c r="A14" s="18"/>
      <c r="B14" s="22"/>
    </row>
    <row r="15" spans="1:11" ht="15.75" customHeight="1" x14ac:dyDescent="0.2">
      <c r="A15" s="18"/>
      <c r="B15" s="24"/>
      <c r="D15" s="25"/>
    </row>
    <row r="16" spans="1:11" s="20" customFormat="1" x14ac:dyDescent="0.2">
      <c r="A16" s="16" t="s">
        <v>129</v>
      </c>
      <c r="B16" s="17"/>
      <c r="C16" s="18"/>
      <c r="D16" s="19"/>
    </row>
    <row r="17" spans="1:4" ht="15.75" customHeight="1" x14ac:dyDescent="0.2">
      <c r="A17" s="18" t="s">
        <v>72</v>
      </c>
      <c r="B17" s="24">
        <f>B12</f>
        <v>560.64</v>
      </c>
      <c r="C17" t="s">
        <v>70</v>
      </c>
      <c r="D17" s="25"/>
    </row>
    <row r="18" spans="1:4" ht="15.75" customHeight="1" x14ac:dyDescent="0.2">
      <c r="A18" s="18" t="s">
        <v>72</v>
      </c>
      <c r="B18" s="24">
        <f>B13</f>
        <v>0.54964705882352938</v>
      </c>
      <c r="C18" t="s">
        <v>71</v>
      </c>
      <c r="D18" s="25"/>
    </row>
    <row r="19" spans="1:4" ht="15.75" customHeight="1" x14ac:dyDescent="0.2">
      <c r="A19" s="18" t="s">
        <v>73</v>
      </c>
      <c r="B19" s="161">
        <f>B6*B7/B8*B9</f>
        <v>3.7647058823529415E-2</v>
      </c>
      <c r="C19" t="s">
        <v>74</v>
      </c>
      <c r="D19" s="25"/>
    </row>
    <row r="20" spans="1:4" ht="15.75" customHeight="1" x14ac:dyDescent="0.2">
      <c r="A20" s="18"/>
      <c r="B20" s="24"/>
      <c r="D20" s="28"/>
    </row>
    <row r="21" spans="1:4" ht="18" customHeight="1" x14ac:dyDescent="0.2">
      <c r="A21" s="272" t="s">
        <v>75</v>
      </c>
      <c r="B21" s="272"/>
      <c r="C21" s="272"/>
    </row>
    <row r="22" spans="1:4" ht="47" customHeight="1" x14ac:dyDescent="0.2">
      <c r="A22" s="29" t="s">
        <v>76</v>
      </c>
      <c r="B22" s="30" t="s">
        <v>77</v>
      </c>
      <c r="C22" s="29" t="s">
        <v>131</v>
      </c>
    </row>
    <row r="23" spans="1:4" ht="15.75" customHeight="1" x14ac:dyDescent="0.2">
      <c r="A23" s="31" t="s">
        <v>78</v>
      </c>
      <c r="B23" s="31">
        <v>100</v>
      </c>
      <c r="C23" s="34">
        <f>B23*$B$18/2000</f>
        <v>2.7482352941176468E-2</v>
      </c>
    </row>
    <row r="24" spans="1:4" ht="15.75" customHeight="1" x14ac:dyDescent="0.2">
      <c r="A24" s="31" t="s">
        <v>79</v>
      </c>
      <c r="B24" s="31">
        <v>84</v>
      </c>
      <c r="C24" s="34">
        <f>B24*$B$18/2000</f>
        <v>2.3085176470588234E-2</v>
      </c>
    </row>
    <row r="25" spans="1:4" ht="15.75" customHeight="1" x14ac:dyDescent="0.2">
      <c r="A25" s="31" t="s">
        <v>80</v>
      </c>
      <c r="B25" s="31">
        <v>5.5</v>
      </c>
      <c r="C25" s="67">
        <f>B25*$B$18/2000</f>
        <v>1.5115294117647058E-3</v>
      </c>
    </row>
    <row r="26" spans="1:4" ht="15.75" customHeight="1" x14ac:dyDescent="0.2">
      <c r="A26" s="31" t="s">
        <v>81</v>
      </c>
      <c r="B26" s="31">
        <v>2.5</v>
      </c>
      <c r="C26" s="67">
        <f>B26*$B$18/2000</f>
        <v>6.870588235294117E-4</v>
      </c>
    </row>
    <row r="27" spans="1:4" x14ac:dyDescent="0.2">
      <c r="A27" s="31" t="s">
        <v>82</v>
      </c>
      <c r="B27" s="31">
        <v>2.6</v>
      </c>
      <c r="C27" s="67">
        <f>B27*$B$18/2000</f>
        <v>7.1454117647058821E-4</v>
      </c>
    </row>
    <row r="28" spans="1:4" x14ac:dyDescent="0.2">
      <c r="A28" s="35" t="s">
        <v>83</v>
      </c>
      <c r="B28" s="36"/>
      <c r="C28" s="37"/>
    </row>
    <row r="29" spans="1:4" x14ac:dyDescent="0.2">
      <c r="A29" s="38"/>
      <c r="B29" s="38"/>
      <c r="C29" s="39"/>
    </row>
    <row r="30" spans="1:4" ht="18" customHeight="1" x14ac:dyDescent="0.2">
      <c r="A30" s="272" t="s">
        <v>84</v>
      </c>
      <c r="B30" s="272"/>
      <c r="C30" s="272"/>
    </row>
    <row r="31" spans="1:4" ht="49" customHeight="1" x14ac:dyDescent="0.2">
      <c r="A31" s="29" t="s">
        <v>76</v>
      </c>
      <c r="B31" s="30" t="s">
        <v>85</v>
      </c>
      <c r="C31" s="29" t="s">
        <v>131</v>
      </c>
    </row>
    <row r="32" spans="1:4" x14ac:dyDescent="0.2">
      <c r="A32" s="31" t="s">
        <v>86</v>
      </c>
      <c r="B32" s="31">
        <v>53.114800000000002</v>
      </c>
      <c r="C32" s="33">
        <f>(B32*B17/1000)*1.10231</f>
        <v>32.824897449400318</v>
      </c>
    </row>
    <row r="33" spans="1:9" x14ac:dyDescent="0.2">
      <c r="A33" s="35" t="s">
        <v>87</v>
      </c>
      <c r="B33" s="36"/>
      <c r="C33" s="37"/>
    </row>
    <row r="34" spans="1:9" x14ac:dyDescent="0.2">
      <c r="C34" s="26"/>
    </row>
    <row r="35" spans="1:9" x14ac:dyDescent="0.2">
      <c r="C35" s="26"/>
    </row>
    <row r="36" spans="1:9" ht="18" customHeight="1" x14ac:dyDescent="0.2">
      <c r="A36" s="273" t="s">
        <v>88</v>
      </c>
      <c r="B36" s="274"/>
      <c r="C36" s="274"/>
      <c r="D36" s="274"/>
      <c r="E36" s="275"/>
      <c r="F36" s="276" t="s">
        <v>132</v>
      </c>
      <c r="G36" s="277"/>
    </row>
    <row r="37" spans="1:9" ht="52" customHeight="1" x14ac:dyDescent="0.4">
      <c r="A37" s="40" t="s">
        <v>76</v>
      </c>
      <c r="B37" s="40" t="s">
        <v>89</v>
      </c>
      <c r="C37" s="41" t="s">
        <v>77</v>
      </c>
      <c r="D37" s="42" t="s">
        <v>133</v>
      </c>
      <c r="E37" s="42" t="s">
        <v>134</v>
      </c>
      <c r="F37" s="42" t="s">
        <v>133</v>
      </c>
      <c r="G37" s="42" t="s">
        <v>134</v>
      </c>
      <c r="I37" s="43"/>
    </row>
    <row r="38" spans="1:9" x14ac:dyDescent="0.2">
      <c r="A38" s="31" t="s">
        <v>13</v>
      </c>
      <c r="B38" s="31" t="s">
        <v>12</v>
      </c>
      <c r="C38" s="31">
        <v>8.0000000000000002E-3</v>
      </c>
      <c r="D38" s="44">
        <f t="shared" ref="D38:D64" si="0">C38*$B$19</f>
        <v>3.0117647058823532E-4</v>
      </c>
      <c r="E38" s="34">
        <f t="shared" ref="E38:E64" si="1">C38*$B$18</f>
        <v>4.3971764705882351E-3</v>
      </c>
      <c r="F38" s="45">
        <f t="shared" ref="F38:F64" si="2">D38/$B$6</f>
        <v>3.0117647058823532E-4</v>
      </c>
      <c r="G38" s="45">
        <f t="shared" ref="G38:G64" si="3">E38/$B$6</f>
        <v>4.3971764705882351E-3</v>
      </c>
    </row>
    <row r="39" spans="1:9" x14ac:dyDescent="0.2">
      <c r="A39" s="31" t="s">
        <v>30</v>
      </c>
      <c r="B39" s="31" t="s">
        <v>29</v>
      </c>
      <c r="C39" s="31">
        <v>1.7000000000000001E-2</v>
      </c>
      <c r="D39" s="44">
        <f t="shared" si="0"/>
        <v>6.4000000000000016E-4</v>
      </c>
      <c r="E39" s="34">
        <f t="shared" si="1"/>
        <v>9.3439999999999999E-3</v>
      </c>
      <c r="F39" s="45">
        <f t="shared" si="2"/>
        <v>6.4000000000000016E-4</v>
      </c>
      <c r="G39" s="45">
        <f t="shared" si="3"/>
        <v>9.3439999999999999E-3</v>
      </c>
    </row>
    <row r="40" spans="1:9" x14ac:dyDescent="0.2">
      <c r="A40" s="31" t="s">
        <v>48</v>
      </c>
      <c r="B40" s="31">
        <v>401</v>
      </c>
      <c r="C40" s="31">
        <v>1E-4</v>
      </c>
      <c r="D40" s="44">
        <f t="shared" si="0"/>
        <v>3.7647058823529418E-6</v>
      </c>
      <c r="E40" s="34">
        <f t="shared" si="1"/>
        <v>5.496470588235294E-5</v>
      </c>
      <c r="F40" s="45">
        <f t="shared" si="2"/>
        <v>3.7647058823529418E-6</v>
      </c>
      <c r="G40" s="45">
        <f t="shared" si="3"/>
        <v>5.496470588235294E-5</v>
      </c>
    </row>
    <row r="41" spans="1:9" x14ac:dyDescent="0.2">
      <c r="A41" s="31" t="s">
        <v>15</v>
      </c>
      <c r="B41" s="31" t="s">
        <v>14</v>
      </c>
      <c r="C41" s="31">
        <v>1.1999999999999999E-6</v>
      </c>
      <c r="D41" s="44">
        <f t="shared" si="0"/>
        <v>4.5176470588235296E-8</v>
      </c>
      <c r="E41" s="34">
        <f t="shared" si="1"/>
        <v>6.5957647058823525E-7</v>
      </c>
      <c r="F41" s="45">
        <f t="shared" si="2"/>
        <v>4.5176470588235296E-8</v>
      </c>
      <c r="G41" s="45">
        <f t="shared" si="3"/>
        <v>6.5957647058823525E-7</v>
      </c>
    </row>
    <row r="42" spans="1:9" x14ac:dyDescent="0.2">
      <c r="A42" s="31" t="s">
        <v>43</v>
      </c>
      <c r="B42" s="31" t="s">
        <v>42</v>
      </c>
      <c r="C42" s="31">
        <v>2.9999999999999997E-4</v>
      </c>
      <c r="D42" s="44">
        <f t="shared" si="0"/>
        <v>1.1294117647058823E-5</v>
      </c>
      <c r="E42" s="34">
        <f t="shared" si="1"/>
        <v>1.648941176470588E-4</v>
      </c>
      <c r="F42" s="45">
        <f t="shared" si="2"/>
        <v>1.1294117647058823E-5</v>
      </c>
      <c r="G42" s="45">
        <f t="shared" si="3"/>
        <v>1.648941176470588E-4</v>
      </c>
    </row>
    <row r="43" spans="1:9" x14ac:dyDescent="0.2">
      <c r="A43" s="31" t="s">
        <v>2</v>
      </c>
      <c r="B43" s="31" t="s">
        <v>1</v>
      </c>
      <c r="C43" s="31">
        <v>4.3E-3</v>
      </c>
      <c r="D43" s="44">
        <f t="shared" si="0"/>
        <v>1.6188235294117649E-4</v>
      </c>
      <c r="E43" s="34">
        <f t="shared" si="1"/>
        <v>2.3634823529411764E-3</v>
      </c>
      <c r="F43" s="45">
        <f t="shared" si="2"/>
        <v>1.6188235294117649E-4</v>
      </c>
      <c r="G43" s="45">
        <f t="shared" si="3"/>
        <v>2.3634823529411764E-3</v>
      </c>
    </row>
    <row r="44" spans="1:9" x14ac:dyDescent="0.2">
      <c r="A44" s="31" t="s">
        <v>4</v>
      </c>
      <c r="B44" s="31" t="s">
        <v>3</v>
      </c>
      <c r="C44" s="31">
        <v>2.7000000000000001E-3</v>
      </c>
      <c r="D44" s="44">
        <f t="shared" si="0"/>
        <v>1.0164705882352943E-4</v>
      </c>
      <c r="E44" s="34">
        <f t="shared" si="1"/>
        <v>1.4840470588235294E-3</v>
      </c>
      <c r="F44" s="45">
        <f t="shared" si="2"/>
        <v>1.0164705882352943E-4</v>
      </c>
      <c r="G44" s="45">
        <f t="shared" si="3"/>
        <v>1.4840470588235294E-3</v>
      </c>
    </row>
    <row r="45" spans="1:9" x14ac:dyDescent="0.2">
      <c r="A45" s="31" t="s">
        <v>7</v>
      </c>
      <c r="B45" s="31" t="s">
        <v>6</v>
      </c>
      <c r="C45" s="31">
        <v>3.2</v>
      </c>
      <c r="D45" s="44">
        <f t="shared" si="0"/>
        <v>0.12047058823529413</v>
      </c>
      <c r="E45" s="34">
        <f t="shared" si="1"/>
        <v>1.7588705882352942</v>
      </c>
      <c r="F45" s="45">
        <f t="shared" si="2"/>
        <v>0.12047058823529413</v>
      </c>
      <c r="G45" s="45">
        <f t="shared" si="3"/>
        <v>1.7588705882352942</v>
      </c>
    </row>
    <row r="46" spans="1:9" x14ac:dyDescent="0.2">
      <c r="A46" s="31" t="s">
        <v>9</v>
      </c>
      <c r="B46" s="31" t="s">
        <v>8</v>
      </c>
      <c r="C46" s="31">
        <v>2.0000000000000001E-4</v>
      </c>
      <c r="D46" s="44">
        <f t="shared" si="0"/>
        <v>7.5294117647058836E-6</v>
      </c>
      <c r="E46" s="34">
        <f t="shared" si="1"/>
        <v>1.0992941176470588E-4</v>
      </c>
      <c r="F46" s="45">
        <f t="shared" si="2"/>
        <v>7.5294117647058836E-6</v>
      </c>
      <c r="G46" s="45">
        <f t="shared" si="3"/>
        <v>1.0992941176470588E-4</v>
      </c>
    </row>
    <row r="47" spans="1:9" x14ac:dyDescent="0.2">
      <c r="A47" s="31" t="s">
        <v>11</v>
      </c>
      <c r="B47" s="31" t="s">
        <v>10</v>
      </c>
      <c r="C47" s="31">
        <v>4.4000000000000003E-3</v>
      </c>
      <c r="D47" s="44">
        <f t="shared" si="0"/>
        <v>1.6564705882352943E-4</v>
      </c>
      <c r="E47" s="34">
        <f t="shared" si="1"/>
        <v>2.4184470588235296E-3</v>
      </c>
      <c r="F47" s="45">
        <f t="shared" si="2"/>
        <v>1.6564705882352943E-4</v>
      </c>
      <c r="G47" s="45">
        <f t="shared" si="3"/>
        <v>2.4184470588235296E-3</v>
      </c>
    </row>
    <row r="48" spans="1:9" x14ac:dyDescent="0.2">
      <c r="A48" s="31" t="s">
        <v>17</v>
      </c>
      <c r="B48" s="31" t="s">
        <v>16</v>
      </c>
      <c r="C48" s="31">
        <v>1.2E-5</v>
      </c>
      <c r="D48" s="44">
        <f t="shared" si="0"/>
        <v>4.5176470588235299E-7</v>
      </c>
      <c r="E48" s="34">
        <f t="shared" si="1"/>
        <v>6.5957647058823523E-6</v>
      </c>
      <c r="F48" s="45">
        <f t="shared" si="2"/>
        <v>4.5176470588235299E-7</v>
      </c>
      <c r="G48" s="45">
        <f t="shared" si="3"/>
        <v>6.5957647058823523E-6</v>
      </c>
    </row>
    <row r="49" spans="1:7" ht="17" x14ac:dyDescent="0.2">
      <c r="A49" s="31" t="s">
        <v>19</v>
      </c>
      <c r="B49" s="46" t="s">
        <v>18</v>
      </c>
      <c r="C49" s="31">
        <v>1.1000000000000001E-3</v>
      </c>
      <c r="D49" s="44">
        <f t="shared" si="0"/>
        <v>4.1411764705882357E-5</v>
      </c>
      <c r="E49" s="34">
        <f t="shared" si="1"/>
        <v>6.046117647058824E-4</v>
      </c>
      <c r="F49" s="45">
        <f t="shared" si="2"/>
        <v>4.1411764705882357E-5</v>
      </c>
      <c r="G49" s="45">
        <f t="shared" si="3"/>
        <v>6.046117647058824E-4</v>
      </c>
    </row>
    <row r="50" spans="1:7" x14ac:dyDescent="0.2">
      <c r="A50" s="31" t="s">
        <v>21</v>
      </c>
      <c r="B50" s="31" t="s">
        <v>20</v>
      </c>
      <c r="C50" s="31">
        <v>1.4E-3</v>
      </c>
      <c r="D50" s="44">
        <f t="shared" si="0"/>
        <v>5.2705882352941184E-5</v>
      </c>
      <c r="E50" s="34">
        <f t="shared" si="1"/>
        <v>7.6950588235294112E-4</v>
      </c>
      <c r="F50" s="45">
        <f t="shared" si="2"/>
        <v>5.2705882352941184E-5</v>
      </c>
      <c r="G50" s="45">
        <f t="shared" si="3"/>
        <v>7.6950588235294112E-4</v>
      </c>
    </row>
    <row r="51" spans="1:7" x14ac:dyDescent="0.2">
      <c r="A51" s="31" t="s">
        <v>23</v>
      </c>
      <c r="B51" s="31" t="s">
        <v>22</v>
      </c>
      <c r="C51" s="31">
        <v>8.3999999999999995E-5</v>
      </c>
      <c r="D51" s="44">
        <f t="shared" si="0"/>
        <v>3.1623529411764707E-6</v>
      </c>
      <c r="E51" s="34">
        <f t="shared" si="1"/>
        <v>4.6170352941176468E-5</v>
      </c>
      <c r="F51" s="45">
        <f t="shared" si="2"/>
        <v>3.1623529411764707E-6</v>
      </c>
      <c r="G51" s="45">
        <f t="shared" si="3"/>
        <v>4.6170352941176468E-5</v>
      </c>
    </row>
    <row r="52" spans="1:7" x14ac:dyDescent="0.2">
      <c r="A52" s="31" t="s">
        <v>25</v>
      </c>
      <c r="B52" s="31" t="s">
        <v>24</v>
      </c>
      <c r="C52" s="31">
        <v>8.4999999999999995E-4</v>
      </c>
      <c r="D52" s="44">
        <f t="shared" si="0"/>
        <v>3.1999999999999999E-5</v>
      </c>
      <c r="E52" s="34">
        <f t="shared" si="1"/>
        <v>4.6719999999999992E-4</v>
      </c>
      <c r="F52" s="45">
        <f t="shared" si="2"/>
        <v>3.1999999999999999E-5</v>
      </c>
      <c r="G52" s="45">
        <f t="shared" si="3"/>
        <v>4.6719999999999992E-4</v>
      </c>
    </row>
    <row r="53" spans="1:7" x14ac:dyDescent="0.2">
      <c r="A53" s="31" t="s">
        <v>27</v>
      </c>
      <c r="B53" s="31" t="s">
        <v>26</v>
      </c>
      <c r="C53" s="31">
        <v>9.4999999999999998E-3</v>
      </c>
      <c r="D53" s="44">
        <f t="shared" si="0"/>
        <v>3.5764705882352943E-4</v>
      </c>
      <c r="E53" s="34">
        <f t="shared" si="1"/>
        <v>5.2216470588235288E-3</v>
      </c>
      <c r="F53" s="45">
        <f t="shared" si="2"/>
        <v>3.5764705882352943E-4</v>
      </c>
      <c r="G53" s="45">
        <f t="shared" si="3"/>
        <v>5.2216470588235288E-3</v>
      </c>
    </row>
    <row r="54" spans="1:7" x14ac:dyDescent="0.2">
      <c r="A54" s="31" t="s">
        <v>32</v>
      </c>
      <c r="B54" s="31" t="s">
        <v>31</v>
      </c>
      <c r="C54" s="31">
        <v>6.3E-3</v>
      </c>
      <c r="D54" s="44">
        <f t="shared" si="0"/>
        <v>2.3717647058823531E-4</v>
      </c>
      <c r="E54" s="34">
        <f t="shared" si="1"/>
        <v>3.4627764705882349E-3</v>
      </c>
      <c r="F54" s="45">
        <f t="shared" si="2"/>
        <v>2.3717647058823531E-4</v>
      </c>
      <c r="G54" s="45">
        <f t="shared" si="3"/>
        <v>3.4627764705882349E-3</v>
      </c>
    </row>
    <row r="55" spans="1:7" x14ac:dyDescent="0.2">
      <c r="A55" s="31" t="s">
        <v>35</v>
      </c>
      <c r="B55" s="31" t="s">
        <v>34</v>
      </c>
      <c r="C55" s="31">
        <v>5.0000000000000001E-4</v>
      </c>
      <c r="D55" s="44">
        <f t="shared" si="0"/>
        <v>1.8823529411764708E-5</v>
      </c>
      <c r="E55" s="34">
        <f t="shared" si="1"/>
        <v>2.7482352941176469E-4</v>
      </c>
      <c r="F55" s="45">
        <f t="shared" si="2"/>
        <v>1.8823529411764708E-5</v>
      </c>
      <c r="G55" s="45">
        <f t="shared" si="3"/>
        <v>2.7482352941176469E-4</v>
      </c>
    </row>
    <row r="56" spans="1:7" x14ac:dyDescent="0.2">
      <c r="A56" s="31" t="s">
        <v>37</v>
      </c>
      <c r="B56" s="31" t="s">
        <v>36</v>
      </c>
      <c r="C56" s="31">
        <v>3.8000000000000002E-4</v>
      </c>
      <c r="D56" s="44">
        <f t="shared" si="0"/>
        <v>1.4305882352941179E-5</v>
      </c>
      <c r="E56" s="34">
        <f t="shared" si="1"/>
        <v>2.0886588235294117E-4</v>
      </c>
      <c r="F56" s="45">
        <f t="shared" si="2"/>
        <v>1.4305882352941179E-5</v>
      </c>
      <c r="G56" s="45">
        <f t="shared" si="3"/>
        <v>2.0886588235294117E-4</v>
      </c>
    </row>
    <row r="57" spans="1:7" x14ac:dyDescent="0.2">
      <c r="A57" s="31" t="s">
        <v>39</v>
      </c>
      <c r="B57" s="31" t="s">
        <v>38</v>
      </c>
      <c r="C57" s="31">
        <v>2.5999999999999998E-4</v>
      </c>
      <c r="D57" s="44">
        <f t="shared" si="0"/>
        <v>9.788235294117647E-6</v>
      </c>
      <c r="E57" s="34">
        <f t="shared" si="1"/>
        <v>1.4290823529411763E-4</v>
      </c>
      <c r="F57" s="45">
        <f t="shared" si="2"/>
        <v>9.788235294117647E-6</v>
      </c>
      <c r="G57" s="45">
        <f t="shared" si="3"/>
        <v>1.4290823529411763E-4</v>
      </c>
    </row>
    <row r="58" spans="1:7" x14ac:dyDescent="0.2">
      <c r="A58" s="31" t="s">
        <v>41</v>
      </c>
      <c r="B58" s="31" t="s">
        <v>40</v>
      </c>
      <c r="C58" s="31">
        <v>1.65E-3</v>
      </c>
      <c r="D58" s="44">
        <f t="shared" si="0"/>
        <v>6.2117647058823529E-5</v>
      </c>
      <c r="E58" s="34">
        <f t="shared" si="1"/>
        <v>9.0691764705882344E-4</v>
      </c>
      <c r="F58" s="45">
        <f t="shared" si="2"/>
        <v>6.2117647058823529E-5</v>
      </c>
      <c r="G58" s="45">
        <f t="shared" si="3"/>
        <v>9.0691764705882344E-4</v>
      </c>
    </row>
    <row r="59" spans="1:7" x14ac:dyDescent="0.2">
      <c r="A59" s="31" t="s">
        <v>45</v>
      </c>
      <c r="B59" s="31">
        <v>365</v>
      </c>
      <c r="C59" s="31">
        <v>2.0999999999999999E-3</v>
      </c>
      <c r="D59" s="44">
        <f t="shared" si="0"/>
        <v>7.9058823529411766E-5</v>
      </c>
      <c r="E59" s="34">
        <f t="shared" si="1"/>
        <v>1.1542588235294116E-3</v>
      </c>
      <c r="F59" s="45">
        <f t="shared" si="2"/>
        <v>7.9058823529411766E-5</v>
      </c>
      <c r="G59" s="45">
        <f t="shared" si="3"/>
        <v>1.1542588235294116E-3</v>
      </c>
    </row>
    <row r="60" spans="1:7" x14ac:dyDescent="0.2">
      <c r="A60" s="31" t="s">
        <v>52</v>
      </c>
      <c r="B60" s="31" t="s">
        <v>51</v>
      </c>
      <c r="C60" s="31">
        <v>2.4000000000000001E-5</v>
      </c>
      <c r="D60" s="44">
        <f t="shared" si="0"/>
        <v>9.0352941176470598E-7</v>
      </c>
      <c r="E60" s="34">
        <f t="shared" si="1"/>
        <v>1.3191529411764705E-5</v>
      </c>
      <c r="F60" s="45">
        <f t="shared" si="2"/>
        <v>9.0352941176470598E-7</v>
      </c>
      <c r="G60" s="45">
        <f t="shared" si="3"/>
        <v>1.3191529411764705E-5</v>
      </c>
    </row>
    <row r="61" spans="1:7" x14ac:dyDescent="0.2">
      <c r="A61" s="31" t="s">
        <v>54</v>
      </c>
      <c r="B61" s="31" t="s">
        <v>53</v>
      </c>
      <c r="C61" s="31">
        <v>3.6600000000000001E-2</v>
      </c>
      <c r="D61" s="44">
        <f t="shared" si="0"/>
        <v>1.3778823529411767E-3</v>
      </c>
      <c r="E61" s="34">
        <f t="shared" si="1"/>
        <v>2.0117082352941174E-2</v>
      </c>
      <c r="F61" s="45">
        <f t="shared" si="2"/>
        <v>1.3778823529411767E-3</v>
      </c>
      <c r="G61" s="45">
        <f t="shared" si="3"/>
        <v>2.0117082352941174E-2</v>
      </c>
    </row>
    <row r="62" spans="1:7" x14ac:dyDescent="0.2">
      <c r="A62" s="31" t="s">
        <v>56</v>
      </c>
      <c r="B62" s="31" t="s">
        <v>55</v>
      </c>
      <c r="C62" s="31">
        <v>2.3E-3</v>
      </c>
      <c r="D62" s="44">
        <f t="shared" si="0"/>
        <v>8.658823529411765E-5</v>
      </c>
      <c r="E62" s="34">
        <f t="shared" si="1"/>
        <v>1.2641882352941176E-3</v>
      </c>
      <c r="F62" s="45">
        <f t="shared" si="2"/>
        <v>8.658823529411765E-5</v>
      </c>
      <c r="G62" s="45">
        <f t="shared" si="3"/>
        <v>1.2641882352941176E-3</v>
      </c>
    </row>
    <row r="63" spans="1:7" x14ac:dyDescent="0.2">
      <c r="A63" s="31" t="s">
        <v>58</v>
      </c>
      <c r="B63" s="31" t="s">
        <v>57</v>
      </c>
      <c r="C63" s="31">
        <v>2.7199999999999998E-2</v>
      </c>
      <c r="D63" s="44">
        <f t="shared" si="0"/>
        <v>1.024E-3</v>
      </c>
      <c r="E63" s="34">
        <f t="shared" si="1"/>
        <v>1.4950399999999997E-2</v>
      </c>
      <c r="F63" s="45">
        <f t="shared" si="2"/>
        <v>1.024E-3</v>
      </c>
      <c r="G63" s="45">
        <f t="shared" si="3"/>
        <v>1.4950399999999997E-2</v>
      </c>
    </row>
    <row r="64" spans="1:7" x14ac:dyDescent="0.2">
      <c r="A64" s="31" t="s">
        <v>60</v>
      </c>
      <c r="B64" s="31" t="s">
        <v>59</v>
      </c>
      <c r="C64" s="31">
        <v>2.9000000000000001E-2</v>
      </c>
      <c r="D64" s="44">
        <f t="shared" si="0"/>
        <v>1.0917647058823531E-3</v>
      </c>
      <c r="E64" s="34">
        <f t="shared" si="1"/>
        <v>1.5939764705882351E-2</v>
      </c>
      <c r="F64" s="45">
        <f t="shared" si="2"/>
        <v>1.0917647058823531E-3</v>
      </c>
      <c r="G64" s="45">
        <f t="shared" si="3"/>
        <v>1.5939764705882351E-2</v>
      </c>
    </row>
    <row r="65" spans="1:7" x14ac:dyDescent="0.2">
      <c r="A65" s="31" t="s">
        <v>90</v>
      </c>
      <c r="B65" s="31"/>
      <c r="C65" s="31"/>
      <c r="D65" s="47">
        <f>SUM(D38:D64)</f>
        <v>0.12635336282352946</v>
      </c>
      <c r="E65" s="47">
        <f>SUM(E38:E64)</f>
        <v>1.844759097223529</v>
      </c>
      <c r="F65" s="47">
        <f>SUM(F38:F64)</f>
        <v>0.12635336282352946</v>
      </c>
      <c r="G65" s="47">
        <f>SUM(G38:G64)</f>
        <v>1.844759097223529</v>
      </c>
    </row>
    <row r="139" spans="1:8" x14ac:dyDescent="0.2">
      <c r="A139" s="281" t="s">
        <v>91</v>
      </c>
      <c r="B139" s="282"/>
      <c r="C139" s="282"/>
      <c r="D139" s="282"/>
      <c r="E139" s="283"/>
    </row>
    <row r="140" spans="1:8" x14ac:dyDescent="0.2">
      <c r="A140" s="48" t="s">
        <v>92</v>
      </c>
      <c r="B140" s="49">
        <v>1.04E-5</v>
      </c>
      <c r="C140" s="50" t="s">
        <v>93</v>
      </c>
      <c r="D140" s="51" t="s">
        <v>94</v>
      </c>
      <c r="E140" s="52" t="e">
        <f>B140*#REF!</f>
        <v>#REF!</v>
      </c>
      <c r="F140" t="s">
        <v>95</v>
      </c>
    </row>
    <row r="141" spans="1:8" x14ac:dyDescent="0.2">
      <c r="A141" s="48" t="s">
        <v>96</v>
      </c>
      <c r="B141" s="49">
        <v>1.0206E-2</v>
      </c>
      <c r="C141" s="50" t="s">
        <v>93</v>
      </c>
      <c r="D141" s="51" t="s">
        <v>94</v>
      </c>
      <c r="E141" s="52" t="e">
        <f>B141*#REF!</f>
        <v>#REF!</v>
      </c>
      <c r="F141" t="s">
        <v>95</v>
      </c>
    </row>
    <row r="142" spans="1:8" x14ac:dyDescent="0.2">
      <c r="A142" s="48" t="s">
        <v>97</v>
      </c>
      <c r="B142" s="49">
        <v>2.4700000000000001E-5</v>
      </c>
      <c r="C142" s="50" t="s">
        <v>93</v>
      </c>
      <c r="D142" s="51" t="s">
        <v>94</v>
      </c>
      <c r="E142" s="53" t="e">
        <f>B142*#REF!</f>
        <v>#REF!</v>
      </c>
      <c r="F142" t="s">
        <v>95</v>
      </c>
      <c r="G142" s="24" t="e">
        <f>SUM(E140:E142)</f>
        <v>#REF!</v>
      </c>
      <c r="H142" t="s">
        <v>95</v>
      </c>
    </row>
    <row r="143" spans="1:8" x14ac:dyDescent="0.2">
      <c r="A143" s="281" t="s">
        <v>98</v>
      </c>
      <c r="B143" s="282"/>
      <c r="C143" s="282"/>
      <c r="D143" s="282"/>
      <c r="E143" s="283"/>
      <c r="G143" t="e">
        <f>G142*1.10231</f>
        <v>#REF!</v>
      </c>
      <c r="H143" t="s">
        <v>99</v>
      </c>
    </row>
    <row r="144" spans="1:8" x14ac:dyDescent="0.2">
      <c r="A144" s="48" t="s">
        <v>13</v>
      </c>
      <c r="B144" s="49">
        <v>7.76E-4</v>
      </c>
      <c r="C144" s="50" t="s">
        <v>100</v>
      </c>
      <c r="D144" s="51" t="s">
        <v>101</v>
      </c>
      <c r="E144" s="54" t="e">
        <f>B144*#REF!*#REF!/1000000/2000</f>
        <v>#REF!</v>
      </c>
    </row>
    <row r="145" spans="1:8" x14ac:dyDescent="0.2">
      <c r="A145" s="48" t="s">
        <v>54</v>
      </c>
      <c r="B145" s="49">
        <v>2.81E-4</v>
      </c>
      <c r="C145" s="50" t="s">
        <v>100</v>
      </c>
      <c r="D145" s="51" t="s">
        <v>101</v>
      </c>
      <c r="E145" s="55" t="e">
        <f>B145*#REF!*#REF!/1000000/2000</f>
        <v>#REF!</v>
      </c>
      <c r="G145">
        <v>2490</v>
      </c>
    </row>
    <row r="146" spans="1:8" x14ac:dyDescent="0.2">
      <c r="A146" s="48" t="s">
        <v>102</v>
      </c>
      <c r="B146" s="49">
        <v>1.93E-4</v>
      </c>
      <c r="C146" s="50" t="s">
        <v>100</v>
      </c>
      <c r="D146" s="51" t="s">
        <v>101</v>
      </c>
      <c r="E146" s="55" t="e">
        <f>B146*#REF!*#REF!/1000000/2000</f>
        <v>#REF!</v>
      </c>
      <c r="G146">
        <f>G145*1.10231</f>
        <v>2744.7518999999998</v>
      </c>
      <c r="H146" t="s">
        <v>99</v>
      </c>
    </row>
    <row r="147" spans="1:8" x14ac:dyDescent="0.2">
      <c r="A147" s="48" t="s">
        <v>30</v>
      </c>
      <c r="B147" s="49">
        <v>7.8899999999999993E-5</v>
      </c>
      <c r="C147" s="50" t="s">
        <v>100</v>
      </c>
      <c r="D147" s="51" t="s">
        <v>101</v>
      </c>
      <c r="E147" s="55" t="e">
        <f>B147*#REF!*#REF!/1000000/2000</f>
        <v>#REF!</v>
      </c>
    </row>
    <row r="148" spans="1:8" x14ac:dyDescent="0.2">
      <c r="A148" s="48" t="s">
        <v>2</v>
      </c>
      <c r="B148" s="49">
        <v>2.5199999999999999E-5</v>
      </c>
      <c r="C148" s="50" t="s">
        <v>100</v>
      </c>
      <c r="D148" s="51" t="s">
        <v>101</v>
      </c>
      <c r="E148" s="56" t="e">
        <f>B148*#REF!*#REF!/1000000/2000</f>
        <v>#REF!</v>
      </c>
    </row>
    <row r="149" spans="1:8" x14ac:dyDescent="0.2">
      <c r="A149" s="48" t="s">
        <v>4</v>
      </c>
      <c r="B149" s="49">
        <v>7.8800000000000008E-6</v>
      </c>
      <c r="C149" s="50" t="s">
        <v>100</v>
      </c>
      <c r="D149" s="51" t="s">
        <v>101</v>
      </c>
      <c r="E149" s="56" t="e">
        <f>B149*#REF!*#REF!/1000000/2000</f>
        <v>#REF!</v>
      </c>
    </row>
    <row r="150" spans="1:8" x14ac:dyDescent="0.2">
      <c r="A150" s="48" t="s">
        <v>103</v>
      </c>
      <c r="B150" s="49">
        <v>1.2999999999999999E-4</v>
      </c>
      <c r="C150" s="50" t="s">
        <v>100</v>
      </c>
      <c r="D150" s="51" t="s">
        <v>101</v>
      </c>
      <c r="E150" s="55" t="e">
        <f>B150*#REF!*#REF!/1000000/2000</f>
        <v>#REF!</v>
      </c>
    </row>
    <row r="151" spans="1:8" x14ac:dyDescent="0.2">
      <c r="A151" s="48" t="s">
        <v>104</v>
      </c>
      <c r="B151" s="49">
        <v>2.12E-4</v>
      </c>
      <c r="C151" s="50" t="s">
        <v>100</v>
      </c>
      <c r="D151" s="51" t="s">
        <v>101</v>
      </c>
      <c r="E151" s="55" t="e">
        <f>B151*#REF!*#REF!/1000000/2000</f>
        <v>#REF!</v>
      </c>
    </row>
    <row r="152" spans="1:8" x14ac:dyDescent="0.2">
      <c r="A152" s="48" t="s">
        <v>105</v>
      </c>
      <c r="B152" s="49"/>
      <c r="C152" s="50"/>
      <c r="D152" s="48"/>
      <c r="E152" s="54" t="e">
        <f>SUM(E144:E151)</f>
        <v>#REF!</v>
      </c>
    </row>
    <row r="153" spans="1:8" x14ac:dyDescent="0.2">
      <c r="B153" s="57"/>
      <c r="C153" s="3"/>
      <c r="E153" s="24"/>
    </row>
    <row r="154" spans="1:8" x14ac:dyDescent="0.2">
      <c r="A154" t="s">
        <v>106</v>
      </c>
      <c r="B154" s="57"/>
      <c r="C154" s="3"/>
      <c r="E154" s="24"/>
    </row>
    <row r="155" spans="1:8" x14ac:dyDescent="0.2">
      <c r="A155" t="s">
        <v>107</v>
      </c>
      <c r="B155" s="57"/>
      <c r="C155" s="3"/>
      <c r="E155" s="24"/>
    </row>
    <row r="156" spans="1:8" x14ac:dyDescent="0.2">
      <c r="A156" t="s">
        <v>108</v>
      </c>
      <c r="B156" s="57"/>
      <c r="C156" s="3"/>
      <c r="E156" s="24"/>
    </row>
    <row r="157" spans="1:8" x14ac:dyDescent="0.2">
      <c r="A157" t="s">
        <v>109</v>
      </c>
      <c r="B157" s="57"/>
      <c r="C157" s="3"/>
      <c r="E157" s="24"/>
    </row>
    <row r="158" spans="1:8" x14ac:dyDescent="0.2">
      <c r="A158" t="s">
        <v>110</v>
      </c>
      <c r="B158" s="57"/>
      <c r="C158" s="3"/>
      <c r="E158" s="24"/>
    </row>
    <row r="160" spans="1:8" x14ac:dyDescent="0.2">
      <c r="A160" s="58" t="s">
        <v>111</v>
      </c>
    </row>
    <row r="162" spans="1:7" x14ac:dyDescent="0.2">
      <c r="A162" s="50" t="s">
        <v>78</v>
      </c>
      <c r="B162" s="50" t="s">
        <v>79</v>
      </c>
      <c r="C162" s="50" t="s">
        <v>80</v>
      </c>
      <c r="D162" s="50" t="s">
        <v>81</v>
      </c>
      <c r="E162" s="50" t="s">
        <v>82</v>
      </c>
      <c r="F162" s="59" t="s">
        <v>112</v>
      </c>
      <c r="G162" s="50" t="s">
        <v>113</v>
      </c>
    </row>
    <row r="163" spans="1:7" x14ac:dyDescent="0.2">
      <c r="A163" s="270" t="s">
        <v>62</v>
      </c>
      <c r="B163" s="284"/>
      <c r="C163" s="284"/>
      <c r="D163" s="284"/>
      <c r="E163" s="284"/>
      <c r="F163" s="284"/>
      <c r="G163" s="271"/>
    </row>
    <row r="164" spans="1:7" x14ac:dyDescent="0.2">
      <c r="A164" s="60" t="e">
        <f>#REF!</f>
        <v>#REF!</v>
      </c>
      <c r="B164" s="60" t="e">
        <f>#REF!</f>
        <v>#REF!</v>
      </c>
      <c r="C164" s="60" t="e">
        <f>#REF!</f>
        <v>#REF!</v>
      </c>
      <c r="D164" s="61" t="e">
        <f>#REF!</f>
        <v>#REF!</v>
      </c>
      <c r="E164" s="61" t="e">
        <f>#REF!</f>
        <v>#REF!</v>
      </c>
      <c r="F164" s="60" t="e">
        <f>SUM(E140:E142)</f>
        <v>#REF!</v>
      </c>
      <c r="G164" s="54" t="e">
        <f>E152</f>
        <v>#REF!</v>
      </c>
    </row>
    <row r="168" spans="1:7" ht="24" x14ac:dyDescent="0.3">
      <c r="A168" s="62"/>
      <c r="C168" s="12"/>
      <c r="D168" s="12"/>
      <c r="E168" s="12"/>
      <c r="F168" s="13"/>
    </row>
    <row r="169" spans="1:7" ht="24" x14ac:dyDescent="0.3">
      <c r="A169" s="62"/>
      <c r="C169" s="12"/>
      <c r="D169" s="12"/>
      <c r="E169" s="12"/>
      <c r="F169" s="13"/>
    </row>
    <row r="170" spans="1:7" ht="24" x14ac:dyDescent="0.3">
      <c r="A170" s="62"/>
      <c r="C170" s="12"/>
      <c r="D170" s="12"/>
      <c r="E170" s="12"/>
      <c r="F170" s="13"/>
    </row>
    <row r="171" spans="1:7" ht="24" x14ac:dyDescent="0.3">
      <c r="A171" s="62"/>
      <c r="C171" s="12"/>
      <c r="D171" s="12"/>
      <c r="E171" s="12"/>
      <c r="F171" s="13"/>
    </row>
    <row r="172" spans="1:7" ht="24" x14ac:dyDescent="0.3">
      <c r="A172" s="62"/>
      <c r="C172" s="12"/>
      <c r="D172" s="12"/>
      <c r="E172" s="12"/>
      <c r="F172" s="13"/>
    </row>
    <row r="173" spans="1:7" ht="24" x14ac:dyDescent="0.3">
      <c r="A173" s="62"/>
      <c r="C173" s="12"/>
      <c r="D173" s="12"/>
      <c r="E173" s="12"/>
      <c r="F173" s="13"/>
    </row>
    <row r="174" spans="1:7" ht="24" x14ac:dyDescent="0.3">
      <c r="A174" s="62"/>
      <c r="C174" s="12"/>
      <c r="D174" s="12"/>
      <c r="E174" s="12"/>
      <c r="F174" s="13"/>
    </row>
    <row r="175" spans="1:7" ht="24" x14ac:dyDescent="0.3">
      <c r="A175" s="62"/>
      <c r="B175" s="11"/>
      <c r="C175" s="12"/>
      <c r="D175" s="12"/>
      <c r="E175" s="12"/>
      <c r="F175" s="13"/>
    </row>
    <row r="177" spans="1:6" x14ac:dyDescent="0.2">
      <c r="A177" s="58"/>
    </row>
    <row r="178" spans="1:6" x14ac:dyDescent="0.2">
      <c r="A178" s="58"/>
    </row>
    <row r="179" spans="1:6" x14ac:dyDescent="0.2">
      <c r="A179" t="s">
        <v>114</v>
      </c>
      <c r="B179" s="22">
        <v>624500</v>
      </c>
      <c r="C179" t="s">
        <v>115</v>
      </c>
    </row>
    <row r="180" spans="1:6" x14ac:dyDescent="0.2">
      <c r="A180" t="s">
        <v>116</v>
      </c>
      <c r="B180" s="22">
        <v>138000</v>
      </c>
      <c r="C180" t="s">
        <v>117</v>
      </c>
    </row>
    <row r="182" spans="1:6" ht="20" customHeight="1" x14ac:dyDescent="0.2">
      <c r="A182" s="285" t="s">
        <v>76</v>
      </c>
      <c r="B182" s="286" t="s">
        <v>118</v>
      </c>
      <c r="C182" s="286"/>
      <c r="D182" s="286"/>
      <c r="E182" s="287" t="s">
        <v>119</v>
      </c>
    </row>
    <row r="183" spans="1:6" ht="31" customHeight="1" x14ac:dyDescent="0.2">
      <c r="A183" s="285"/>
      <c r="B183" s="50" t="s">
        <v>120</v>
      </c>
      <c r="C183" s="50" t="s">
        <v>121</v>
      </c>
      <c r="D183" s="50" t="s">
        <v>0</v>
      </c>
      <c r="E183" s="288"/>
    </row>
    <row r="184" spans="1:6" ht="17" customHeight="1" x14ac:dyDescent="0.2">
      <c r="A184" s="278" t="s">
        <v>122</v>
      </c>
      <c r="B184" s="279"/>
      <c r="C184" s="279"/>
      <c r="D184" s="279"/>
      <c r="E184" s="280"/>
    </row>
    <row r="185" spans="1:6" x14ac:dyDescent="0.2">
      <c r="A185" s="48" t="s">
        <v>78</v>
      </c>
      <c r="B185" s="49" t="e">
        <f>#REF!</f>
        <v>#REF!</v>
      </c>
      <c r="C185" s="50" t="s">
        <v>123</v>
      </c>
      <c r="D185" s="51" t="s">
        <v>124</v>
      </c>
      <c r="E185" s="52" t="e">
        <f>B185*$B$179/2000</f>
        <v>#REF!</v>
      </c>
    </row>
    <row r="186" spans="1:6" x14ac:dyDescent="0.2">
      <c r="A186" s="48" t="s">
        <v>79</v>
      </c>
      <c r="B186" s="49" t="e">
        <f>#REF!</f>
        <v>#REF!</v>
      </c>
      <c r="C186" s="50" t="s">
        <v>123</v>
      </c>
      <c r="D186" s="51" t="s">
        <v>124</v>
      </c>
      <c r="E186" s="52" t="e">
        <f>B186*$B$179/2000</f>
        <v>#REF!</v>
      </c>
    </row>
    <row r="187" spans="1:6" x14ac:dyDescent="0.2">
      <c r="A187" s="48" t="s">
        <v>80</v>
      </c>
      <c r="B187" s="49" t="e">
        <f>#REF!</f>
        <v>#REF!</v>
      </c>
      <c r="C187" s="50" t="s">
        <v>123</v>
      </c>
      <c r="D187" s="51" t="s">
        <v>124</v>
      </c>
      <c r="E187" s="53" t="e">
        <f>B187*$B$179/2000</f>
        <v>#REF!</v>
      </c>
    </row>
    <row r="188" spans="1:6" x14ac:dyDescent="0.2">
      <c r="A188" s="48" t="s">
        <v>81</v>
      </c>
      <c r="B188" s="49" t="e">
        <f>#REF!</f>
        <v>#REF!</v>
      </c>
      <c r="C188" s="50" t="s">
        <v>123</v>
      </c>
      <c r="D188" s="51" t="s">
        <v>124</v>
      </c>
      <c r="E188" s="53" t="e">
        <f>B188*$B$179/2000</f>
        <v>#REF!</v>
      </c>
    </row>
    <row r="189" spans="1:6" x14ac:dyDescent="0.2">
      <c r="A189" s="48" t="s">
        <v>82</v>
      </c>
      <c r="B189" s="49" t="e">
        <f>#REF!</f>
        <v>#REF!</v>
      </c>
      <c r="C189" s="50" t="s">
        <v>123</v>
      </c>
      <c r="D189" s="51" t="s">
        <v>124</v>
      </c>
      <c r="E189" s="53" t="e">
        <f>B189*$B$179/2000</f>
        <v>#REF!</v>
      </c>
    </row>
    <row r="190" spans="1:6" x14ac:dyDescent="0.2">
      <c r="A190" s="48" t="s">
        <v>125</v>
      </c>
      <c r="B190" s="49">
        <v>8.3000000000000001E-3</v>
      </c>
      <c r="C190" s="50" t="s">
        <v>126</v>
      </c>
      <c r="D190" s="51" t="s">
        <v>127</v>
      </c>
      <c r="E190" s="55">
        <f>B190*B179/1000/2000</f>
        <v>2.5916750000000003E-3</v>
      </c>
    </row>
    <row r="191" spans="1:6" x14ac:dyDescent="0.2">
      <c r="A191" s="281" t="s">
        <v>91</v>
      </c>
      <c r="B191" s="282"/>
      <c r="C191" s="282"/>
      <c r="D191" s="282"/>
      <c r="E191" s="283"/>
    </row>
    <row r="192" spans="1:6" x14ac:dyDescent="0.2">
      <c r="A192" s="48" t="s">
        <v>92</v>
      </c>
      <c r="B192" s="49">
        <v>1.04E-5</v>
      </c>
      <c r="C192" s="50" t="s">
        <v>93</v>
      </c>
      <c r="D192" s="51" t="s">
        <v>94</v>
      </c>
      <c r="E192" s="52">
        <f>B192*$B$179</f>
        <v>6.4948000000000006</v>
      </c>
      <c r="F192" t="s">
        <v>95</v>
      </c>
    </row>
    <row r="193" spans="1:6" x14ac:dyDescent="0.2">
      <c r="A193" s="48" t="s">
        <v>96</v>
      </c>
      <c r="B193" s="49">
        <v>1.0206E-2</v>
      </c>
      <c r="C193" s="50" t="s">
        <v>93</v>
      </c>
      <c r="D193" s="51" t="s">
        <v>94</v>
      </c>
      <c r="E193" s="65">
        <f>B193*$B$179</f>
        <v>6373.6469999999999</v>
      </c>
      <c r="F193" t="s">
        <v>95</v>
      </c>
    </row>
    <row r="194" spans="1:6" x14ac:dyDescent="0.2">
      <c r="A194" s="48" t="s">
        <v>97</v>
      </c>
      <c r="B194" s="49">
        <v>2.4700000000000001E-5</v>
      </c>
      <c r="C194" s="50" t="s">
        <v>93</v>
      </c>
      <c r="D194" s="51" t="s">
        <v>94</v>
      </c>
      <c r="E194" s="52">
        <f>B194*$B$179</f>
        <v>15.42515</v>
      </c>
      <c r="F194" t="s">
        <v>95</v>
      </c>
    </row>
    <row r="195" spans="1:6" x14ac:dyDescent="0.2">
      <c r="A195" s="281" t="s">
        <v>98</v>
      </c>
      <c r="B195" s="282"/>
      <c r="C195" s="282"/>
      <c r="D195" s="282"/>
      <c r="E195" s="283"/>
    </row>
    <row r="196" spans="1:6" x14ac:dyDescent="0.2">
      <c r="A196" s="48" t="s">
        <v>13</v>
      </c>
      <c r="B196" s="49">
        <v>7.76E-4</v>
      </c>
      <c r="C196" s="50" t="s">
        <v>100</v>
      </c>
      <c r="D196" s="51" t="s">
        <v>101</v>
      </c>
      <c r="E196" s="54">
        <f t="shared" ref="E196:E203" si="4">B196*$B$179*$B$180/1000000/2000</f>
        <v>3.3438228E-2</v>
      </c>
    </row>
    <row r="197" spans="1:6" x14ac:dyDescent="0.2">
      <c r="A197" s="48" t="s">
        <v>54</v>
      </c>
      <c r="B197" s="49">
        <v>2.81E-4</v>
      </c>
      <c r="C197" s="50" t="s">
        <v>100</v>
      </c>
      <c r="D197" s="51" t="s">
        <v>101</v>
      </c>
      <c r="E197" s="55">
        <f t="shared" si="4"/>
        <v>1.2108430500000001E-2</v>
      </c>
    </row>
    <row r="198" spans="1:6" x14ac:dyDescent="0.2">
      <c r="A198" s="48" t="s">
        <v>102</v>
      </c>
      <c r="B198" s="49">
        <v>1.93E-4</v>
      </c>
      <c r="C198" s="50" t="s">
        <v>100</v>
      </c>
      <c r="D198" s="51" t="s">
        <v>101</v>
      </c>
      <c r="E198" s="55">
        <f t="shared" si="4"/>
        <v>8.3164665000000013E-3</v>
      </c>
    </row>
    <row r="199" spans="1:6" x14ac:dyDescent="0.2">
      <c r="A199" s="48" t="s">
        <v>30</v>
      </c>
      <c r="B199" s="49">
        <v>7.8899999999999993E-5</v>
      </c>
      <c r="C199" s="50" t="s">
        <v>100</v>
      </c>
      <c r="D199" s="51" t="s">
        <v>101</v>
      </c>
      <c r="E199" s="55">
        <f t="shared" si="4"/>
        <v>3.3998404499999998E-3</v>
      </c>
    </row>
    <row r="200" spans="1:6" x14ac:dyDescent="0.2">
      <c r="A200" s="48" t="s">
        <v>2</v>
      </c>
      <c r="B200" s="49">
        <v>2.5199999999999999E-5</v>
      </c>
      <c r="C200" s="50" t="s">
        <v>100</v>
      </c>
      <c r="D200" s="51" t="s">
        <v>101</v>
      </c>
      <c r="E200" s="56">
        <f t="shared" si="4"/>
        <v>1.0858805999999998E-3</v>
      </c>
    </row>
    <row r="201" spans="1:6" x14ac:dyDescent="0.2">
      <c r="A201" s="48" t="s">
        <v>4</v>
      </c>
      <c r="B201" s="49">
        <v>7.8800000000000008E-6</v>
      </c>
      <c r="C201" s="50" t="s">
        <v>100</v>
      </c>
      <c r="D201" s="51" t="s">
        <v>101</v>
      </c>
      <c r="E201" s="56">
        <f t="shared" si="4"/>
        <v>3.3955314000000007E-4</v>
      </c>
    </row>
    <row r="202" spans="1:6" x14ac:dyDescent="0.2">
      <c r="A202" s="48" t="s">
        <v>103</v>
      </c>
      <c r="B202" s="49">
        <v>1.2999999999999999E-4</v>
      </c>
      <c r="C202" s="50" t="s">
        <v>100</v>
      </c>
      <c r="D202" s="51" t="s">
        <v>101</v>
      </c>
      <c r="E202" s="55">
        <f t="shared" si="4"/>
        <v>5.6017649999999999E-3</v>
      </c>
    </row>
    <row r="203" spans="1:6" x14ac:dyDescent="0.2">
      <c r="A203" s="48" t="s">
        <v>104</v>
      </c>
      <c r="B203" s="49">
        <v>2.12E-4</v>
      </c>
      <c r="C203" s="50" t="s">
        <v>100</v>
      </c>
      <c r="D203" s="51" t="s">
        <v>101</v>
      </c>
      <c r="E203" s="55">
        <f t="shared" si="4"/>
        <v>9.135186E-3</v>
      </c>
    </row>
    <row r="204" spans="1:6" x14ac:dyDescent="0.2">
      <c r="A204" s="48" t="s">
        <v>105</v>
      </c>
      <c r="B204" s="49"/>
      <c r="C204" s="50"/>
      <c r="D204" s="48"/>
      <c r="E204" s="54">
        <f>SUM(E196:E203)</f>
        <v>7.3425350190000002E-2</v>
      </c>
    </row>
    <row r="205" spans="1:6" x14ac:dyDescent="0.2">
      <c r="B205" s="57"/>
      <c r="C205" s="3"/>
      <c r="E205" s="24"/>
    </row>
    <row r="206" spans="1:6" x14ac:dyDescent="0.2">
      <c r="A206" t="s">
        <v>106</v>
      </c>
      <c r="B206" s="57"/>
      <c r="C206" s="3"/>
      <c r="E206" s="24"/>
    </row>
    <row r="207" spans="1:6" x14ac:dyDescent="0.2">
      <c r="A207" t="s">
        <v>107</v>
      </c>
      <c r="B207" s="57"/>
      <c r="C207" s="3"/>
      <c r="E207" s="24"/>
    </row>
    <row r="208" spans="1:6" x14ac:dyDescent="0.2">
      <c r="A208" t="s">
        <v>108</v>
      </c>
      <c r="B208" s="57"/>
      <c r="C208" s="3"/>
      <c r="E208" s="24"/>
    </row>
    <row r="209" spans="1:7" x14ac:dyDescent="0.2">
      <c r="A209" t="s">
        <v>109</v>
      </c>
      <c r="B209" s="57"/>
      <c r="C209" s="3"/>
      <c r="E209" s="24"/>
    </row>
    <row r="210" spans="1:7" x14ac:dyDescent="0.2">
      <c r="B210" s="57"/>
      <c r="C210" s="3"/>
      <c r="E210" s="24"/>
    </row>
    <row r="212" spans="1:7" x14ac:dyDescent="0.2">
      <c r="A212" s="58" t="s">
        <v>128</v>
      </c>
    </row>
    <row r="214" spans="1:7" x14ac:dyDescent="0.2">
      <c r="A214" s="50" t="s">
        <v>78</v>
      </c>
      <c r="B214" s="50" t="s">
        <v>79</v>
      </c>
      <c r="C214" s="50" t="s">
        <v>80</v>
      </c>
      <c r="D214" s="50" t="s">
        <v>81</v>
      </c>
      <c r="E214" s="50" t="s">
        <v>82</v>
      </c>
      <c r="F214" s="59" t="s">
        <v>112</v>
      </c>
      <c r="G214" s="50" t="s">
        <v>113</v>
      </c>
    </row>
    <row r="215" spans="1:7" x14ac:dyDescent="0.2">
      <c r="A215" s="270" t="s">
        <v>62</v>
      </c>
      <c r="B215" s="284"/>
      <c r="C215" s="284"/>
      <c r="D215" s="284"/>
      <c r="E215" s="284"/>
      <c r="F215" s="284"/>
      <c r="G215" s="271"/>
    </row>
    <row r="216" spans="1:7" x14ac:dyDescent="0.2">
      <c r="A216" s="60" t="e">
        <f>E185</f>
        <v>#REF!</v>
      </c>
      <c r="B216" s="60" t="e">
        <f>E186</f>
        <v>#REF!</v>
      </c>
      <c r="C216" s="60" t="e">
        <f>E187</f>
        <v>#REF!</v>
      </c>
      <c r="D216" s="61" t="e">
        <f>E188</f>
        <v>#REF!</v>
      </c>
      <c r="E216" s="61" t="e">
        <f>E189</f>
        <v>#REF!</v>
      </c>
      <c r="F216" s="60">
        <f>SUM(E192:E194)</f>
        <v>6395.5669500000004</v>
      </c>
      <c r="G216" s="54">
        <f>E204</f>
        <v>7.3425350190000002E-2</v>
      </c>
    </row>
  </sheetData>
  <mergeCells count="14">
    <mergeCell ref="A191:E191"/>
    <mergeCell ref="A195:E195"/>
    <mergeCell ref="A215:G215"/>
    <mergeCell ref="A139:E139"/>
    <mergeCell ref="A143:E143"/>
    <mergeCell ref="A163:G163"/>
    <mergeCell ref="A182:A183"/>
    <mergeCell ref="B182:D182"/>
    <mergeCell ref="E182:E183"/>
    <mergeCell ref="A21:C21"/>
    <mergeCell ref="A30:C30"/>
    <mergeCell ref="A36:E36"/>
    <mergeCell ref="F36:G36"/>
    <mergeCell ref="A184:E184"/>
  </mergeCells>
  <printOptions horizontalCentered="1"/>
  <pageMargins left="0.75" right="0.75" top="1" bottom="1" header="0.5" footer="0.5"/>
  <pageSetup scale="56" orientation="portrait" horizontalDpi="4294967292" verticalDpi="4294967292"/>
  <headerFooter>
    <oddFooter>&amp;L&amp;"Calibri,Regular"&amp;K000000&amp;D</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84439-97F2-DD4A-A78A-734E782FE0BB}">
  <sheetPr>
    <tabColor rgb="FF008000"/>
    <pageSetUpPr fitToPage="1"/>
  </sheetPr>
  <dimension ref="A1:K216"/>
  <sheetViews>
    <sheetView topLeftCell="A34" zoomScale="88" zoomScaleNormal="88" workbookViewId="0">
      <selection activeCell="D38" sqref="D38:D64"/>
    </sheetView>
  </sheetViews>
  <sheetFormatPr baseColWidth="10" defaultColWidth="11" defaultRowHeight="16" x14ac:dyDescent="0.2"/>
  <cols>
    <col min="1" max="1" width="33.5" customWidth="1"/>
    <col min="2" max="2" width="15.83203125" customWidth="1"/>
    <col min="3" max="3" width="15.33203125" customWidth="1"/>
    <col min="4" max="10" width="9.6640625" customWidth="1"/>
    <col min="13" max="13" width="12.6640625" customWidth="1"/>
    <col min="14" max="14" width="14" customWidth="1"/>
  </cols>
  <sheetData>
    <row r="1" spans="1:11" ht="21" x14ac:dyDescent="0.25">
      <c r="A1" s="10"/>
      <c r="B1" s="11"/>
      <c r="C1" s="12"/>
      <c r="D1" s="12"/>
      <c r="E1" s="12"/>
      <c r="F1" s="13"/>
    </row>
    <row r="3" spans="1:11" x14ac:dyDescent="0.2">
      <c r="A3" s="14"/>
    </row>
    <row r="4" spans="1:11" ht="18" x14ac:dyDescent="0.2">
      <c r="A4" s="15" t="s">
        <v>294</v>
      </c>
    </row>
    <row r="6" spans="1:11" s="20" customFormat="1" x14ac:dyDescent="0.2">
      <c r="A6" s="16" t="s">
        <v>136</v>
      </c>
      <c r="B6" s="17">
        <v>2</v>
      </c>
      <c r="C6" s="18"/>
      <c r="D6" s="19"/>
      <c r="G6"/>
      <c r="H6" s="66" t="s">
        <v>155</v>
      </c>
      <c r="I6"/>
      <c r="J6"/>
      <c r="K6"/>
    </row>
    <row r="7" spans="1:11" s="20" customFormat="1" x14ac:dyDescent="0.2">
      <c r="A7" s="18" t="s">
        <v>63</v>
      </c>
      <c r="B7" s="26">
        <v>0.16</v>
      </c>
      <c r="C7" s="18" t="s">
        <v>64</v>
      </c>
      <c r="D7" s="19"/>
      <c r="F7"/>
      <c r="G7"/>
      <c r="H7"/>
      <c r="I7"/>
      <c r="J7"/>
      <c r="K7"/>
    </row>
    <row r="8" spans="1:11" x14ac:dyDescent="0.2">
      <c r="A8" s="18" t="s">
        <v>65</v>
      </c>
      <c r="B8" s="22">
        <v>1020</v>
      </c>
      <c r="C8" t="s">
        <v>66</v>
      </c>
    </row>
    <row r="9" spans="1:11" x14ac:dyDescent="0.2">
      <c r="A9" s="18" t="s">
        <v>67</v>
      </c>
      <c r="B9" s="22">
        <v>24</v>
      </c>
    </row>
    <row r="10" spans="1:11" x14ac:dyDescent="0.2">
      <c r="A10" s="18" t="s">
        <v>68</v>
      </c>
      <c r="B10" s="17">
        <v>8760</v>
      </c>
    </row>
    <row r="11" spans="1:11" x14ac:dyDescent="0.2">
      <c r="A11" s="18" t="s">
        <v>130</v>
      </c>
      <c r="B11" s="23">
        <v>0.06</v>
      </c>
      <c r="H11" s="66" t="s">
        <v>137</v>
      </c>
    </row>
    <row r="12" spans="1:11" ht="15.75" customHeight="1" x14ac:dyDescent="0.2">
      <c r="A12" s="18" t="s">
        <v>69</v>
      </c>
      <c r="B12" s="24">
        <f>B6*B7*B10*B11</f>
        <v>168.19200000000001</v>
      </c>
      <c r="C12" t="s">
        <v>70</v>
      </c>
      <c r="D12" s="25"/>
    </row>
    <row r="13" spans="1:11" ht="15.75" customHeight="1" x14ac:dyDescent="0.2">
      <c r="A13" s="18" t="s">
        <v>69</v>
      </c>
      <c r="B13" s="27">
        <f>B12/B8</f>
        <v>0.16489411764705883</v>
      </c>
      <c r="C13" t="s">
        <v>71</v>
      </c>
      <c r="D13" s="25"/>
    </row>
    <row r="14" spans="1:11" x14ac:dyDescent="0.2">
      <c r="A14" s="18"/>
      <c r="B14" s="22"/>
    </row>
    <row r="15" spans="1:11" ht="15.75" customHeight="1" x14ac:dyDescent="0.2">
      <c r="A15" s="18"/>
      <c r="B15" s="24"/>
      <c r="D15" s="25"/>
    </row>
    <row r="16" spans="1:11" s="20" customFormat="1" x14ac:dyDescent="0.2">
      <c r="A16" s="16" t="s">
        <v>129</v>
      </c>
      <c r="B16" s="17"/>
      <c r="C16" s="18"/>
      <c r="D16" s="19"/>
    </row>
    <row r="17" spans="1:4" ht="15.75" customHeight="1" x14ac:dyDescent="0.2">
      <c r="A17" s="18" t="s">
        <v>72</v>
      </c>
      <c r="B17" s="24">
        <f>B12</f>
        <v>168.19200000000001</v>
      </c>
      <c r="C17" t="s">
        <v>70</v>
      </c>
      <c r="D17" s="25"/>
    </row>
    <row r="18" spans="1:4" ht="15.75" customHeight="1" x14ac:dyDescent="0.2">
      <c r="A18" s="18" t="s">
        <v>72</v>
      </c>
      <c r="B18" s="24">
        <f>B13</f>
        <v>0.16489411764705883</v>
      </c>
      <c r="C18" t="s">
        <v>71</v>
      </c>
      <c r="D18" s="25"/>
    </row>
    <row r="19" spans="1:4" ht="15.75" customHeight="1" x14ac:dyDescent="0.2">
      <c r="A19" s="18" t="s">
        <v>73</v>
      </c>
      <c r="B19" s="161">
        <f>B6*B7/B8*B9</f>
        <v>7.5294117647058826E-3</v>
      </c>
      <c r="C19" t="s">
        <v>74</v>
      </c>
      <c r="D19" s="25"/>
    </row>
    <row r="20" spans="1:4" ht="15.75" customHeight="1" x14ac:dyDescent="0.2">
      <c r="A20" s="18"/>
      <c r="B20" s="24"/>
      <c r="D20" s="28"/>
    </row>
    <row r="21" spans="1:4" ht="18" customHeight="1" x14ac:dyDescent="0.2">
      <c r="A21" s="272" t="s">
        <v>75</v>
      </c>
      <c r="B21" s="272"/>
      <c r="C21" s="272"/>
    </row>
    <row r="22" spans="1:4" ht="47" customHeight="1" x14ac:dyDescent="0.2">
      <c r="A22" s="29" t="s">
        <v>76</v>
      </c>
      <c r="B22" s="30" t="s">
        <v>77</v>
      </c>
      <c r="C22" s="29" t="s">
        <v>131</v>
      </c>
    </row>
    <row r="23" spans="1:4" ht="15.75" customHeight="1" x14ac:dyDescent="0.2">
      <c r="A23" s="31" t="s">
        <v>78</v>
      </c>
      <c r="B23" s="31">
        <v>100</v>
      </c>
      <c r="C23" s="67">
        <f>B23*$B$18/2000</f>
        <v>8.2447058823529405E-3</v>
      </c>
    </row>
    <row r="24" spans="1:4" ht="15.75" customHeight="1" x14ac:dyDescent="0.2">
      <c r="A24" s="31" t="s">
        <v>79</v>
      </c>
      <c r="B24" s="31">
        <v>84</v>
      </c>
      <c r="C24" s="67">
        <f>B24*$B$18/2000</f>
        <v>6.9255529411764707E-3</v>
      </c>
    </row>
    <row r="25" spans="1:4" ht="15.75" customHeight="1" x14ac:dyDescent="0.2">
      <c r="A25" s="31" t="s">
        <v>80</v>
      </c>
      <c r="B25" s="31">
        <v>5.5</v>
      </c>
      <c r="C25" s="44">
        <f>B25*$B$18/2000</f>
        <v>4.5345882352941183E-4</v>
      </c>
    </row>
    <row r="26" spans="1:4" ht="15.75" customHeight="1" x14ac:dyDescent="0.2">
      <c r="A26" s="31" t="s">
        <v>81</v>
      </c>
      <c r="B26" s="31">
        <v>2.5</v>
      </c>
      <c r="C26" s="44">
        <f>B26*$B$18/2000</f>
        <v>2.0611764705882353E-4</v>
      </c>
    </row>
    <row r="27" spans="1:4" x14ac:dyDescent="0.2">
      <c r="A27" s="31" t="s">
        <v>82</v>
      </c>
      <c r="B27" s="31">
        <v>2.6</v>
      </c>
      <c r="C27" s="44">
        <f>B27*$B$18/2000</f>
        <v>2.1436235294117648E-4</v>
      </c>
    </row>
    <row r="28" spans="1:4" x14ac:dyDescent="0.2">
      <c r="A28" s="35" t="s">
        <v>83</v>
      </c>
      <c r="B28" s="36"/>
      <c r="C28" s="37"/>
    </row>
    <row r="29" spans="1:4" x14ac:dyDescent="0.2">
      <c r="A29" s="38"/>
      <c r="B29" s="38"/>
      <c r="C29" s="39"/>
    </row>
    <row r="30" spans="1:4" ht="18" customHeight="1" x14ac:dyDescent="0.2">
      <c r="A30" s="272" t="s">
        <v>84</v>
      </c>
      <c r="B30" s="272"/>
      <c r="C30" s="272"/>
    </row>
    <row r="31" spans="1:4" ht="49" customHeight="1" x14ac:dyDescent="0.2">
      <c r="A31" s="29" t="s">
        <v>76</v>
      </c>
      <c r="B31" s="30" t="s">
        <v>85</v>
      </c>
      <c r="C31" s="29" t="s">
        <v>131</v>
      </c>
    </row>
    <row r="32" spans="1:4" x14ac:dyDescent="0.2">
      <c r="A32" s="31" t="s">
        <v>86</v>
      </c>
      <c r="B32" s="31">
        <v>53.114800000000002</v>
      </c>
      <c r="C32" s="33">
        <f>(B32*B17/1000)*1.10231</f>
        <v>9.8474692348200961</v>
      </c>
    </row>
    <row r="33" spans="1:9" x14ac:dyDescent="0.2">
      <c r="A33" s="35" t="s">
        <v>87</v>
      </c>
      <c r="B33" s="36"/>
      <c r="C33" s="37"/>
    </row>
    <row r="34" spans="1:9" x14ac:dyDescent="0.2">
      <c r="C34" s="26"/>
    </row>
    <row r="35" spans="1:9" x14ac:dyDescent="0.2">
      <c r="C35" s="26"/>
    </row>
    <row r="36" spans="1:9" ht="18" customHeight="1" x14ac:dyDescent="0.2">
      <c r="A36" s="273" t="s">
        <v>88</v>
      </c>
      <c r="B36" s="274"/>
      <c r="C36" s="274"/>
      <c r="D36" s="274"/>
      <c r="E36" s="275"/>
      <c r="F36" s="276" t="s">
        <v>132</v>
      </c>
      <c r="G36" s="277"/>
    </row>
    <row r="37" spans="1:9" ht="52" customHeight="1" x14ac:dyDescent="0.4">
      <c r="A37" s="40" t="s">
        <v>76</v>
      </c>
      <c r="B37" s="40" t="s">
        <v>89</v>
      </c>
      <c r="C37" s="41" t="s">
        <v>77</v>
      </c>
      <c r="D37" s="64" t="s">
        <v>133</v>
      </c>
      <c r="E37" s="64" t="s">
        <v>134</v>
      </c>
      <c r="F37" s="64" t="s">
        <v>133</v>
      </c>
      <c r="G37" s="64" t="s">
        <v>134</v>
      </c>
      <c r="I37" s="43"/>
    </row>
    <row r="38" spans="1:9" x14ac:dyDescent="0.2">
      <c r="A38" s="31" t="s">
        <v>13</v>
      </c>
      <c r="B38" s="31" t="s">
        <v>12</v>
      </c>
      <c r="C38" s="31">
        <v>8.0000000000000002E-3</v>
      </c>
      <c r="D38" s="44">
        <f t="shared" ref="D38:D64" si="0">C38*$B$19</f>
        <v>6.0235294117647062E-5</v>
      </c>
      <c r="E38" s="34">
        <f t="shared" ref="E38:E64" si="1">C38*$B$18</f>
        <v>1.3191529411764706E-3</v>
      </c>
      <c r="F38" s="45">
        <f t="shared" ref="F38:G64" si="2">D38/$B$6</f>
        <v>3.0117647058823531E-5</v>
      </c>
      <c r="G38" s="45">
        <f t="shared" si="2"/>
        <v>6.5957647058823531E-4</v>
      </c>
    </row>
    <row r="39" spans="1:9" x14ac:dyDescent="0.2">
      <c r="A39" s="31" t="s">
        <v>30</v>
      </c>
      <c r="B39" s="31" t="s">
        <v>29</v>
      </c>
      <c r="C39" s="31">
        <v>1.7000000000000001E-2</v>
      </c>
      <c r="D39" s="44">
        <f t="shared" si="0"/>
        <v>1.2800000000000002E-4</v>
      </c>
      <c r="E39" s="34">
        <f t="shared" si="1"/>
        <v>2.8032000000000005E-3</v>
      </c>
      <c r="F39" s="45">
        <f t="shared" si="2"/>
        <v>6.4000000000000011E-5</v>
      </c>
      <c r="G39" s="45">
        <f t="shared" si="2"/>
        <v>1.4016000000000002E-3</v>
      </c>
    </row>
    <row r="40" spans="1:9" x14ac:dyDescent="0.2">
      <c r="A40" s="31" t="s">
        <v>48</v>
      </c>
      <c r="B40" s="31">
        <v>401</v>
      </c>
      <c r="C40" s="31">
        <v>1E-4</v>
      </c>
      <c r="D40" s="44">
        <f t="shared" si="0"/>
        <v>7.5294117647058831E-7</v>
      </c>
      <c r="E40" s="34">
        <f t="shared" si="1"/>
        <v>1.6489411764705883E-5</v>
      </c>
      <c r="F40" s="45">
        <f t="shared" si="2"/>
        <v>3.7647058823529416E-7</v>
      </c>
      <c r="G40" s="45">
        <f t="shared" si="2"/>
        <v>8.2447058823529417E-6</v>
      </c>
    </row>
    <row r="41" spans="1:9" x14ac:dyDescent="0.2">
      <c r="A41" s="31" t="s">
        <v>15</v>
      </c>
      <c r="B41" s="31" t="s">
        <v>14</v>
      </c>
      <c r="C41" s="31">
        <v>1.1999999999999999E-6</v>
      </c>
      <c r="D41" s="44">
        <f t="shared" si="0"/>
        <v>9.0352941176470586E-9</v>
      </c>
      <c r="E41" s="34">
        <f t="shared" si="1"/>
        <v>1.9787294117647059E-7</v>
      </c>
      <c r="F41" s="45">
        <f t="shared" si="2"/>
        <v>4.5176470588235293E-9</v>
      </c>
      <c r="G41" s="45">
        <f t="shared" si="2"/>
        <v>9.8936470588235296E-8</v>
      </c>
    </row>
    <row r="42" spans="1:9" x14ac:dyDescent="0.2">
      <c r="A42" s="31" t="s">
        <v>43</v>
      </c>
      <c r="B42" s="31" t="s">
        <v>42</v>
      </c>
      <c r="C42" s="31">
        <v>2.9999999999999997E-4</v>
      </c>
      <c r="D42" s="44">
        <f t="shared" si="0"/>
        <v>2.2588235294117647E-6</v>
      </c>
      <c r="E42" s="34">
        <f t="shared" si="1"/>
        <v>4.9468235294117647E-5</v>
      </c>
      <c r="F42" s="45">
        <f t="shared" si="2"/>
        <v>1.1294117647058824E-6</v>
      </c>
      <c r="G42" s="45">
        <f t="shared" si="2"/>
        <v>2.4734117647058823E-5</v>
      </c>
    </row>
    <row r="43" spans="1:9" x14ac:dyDescent="0.2">
      <c r="A43" s="31" t="s">
        <v>2</v>
      </c>
      <c r="B43" s="31" t="s">
        <v>1</v>
      </c>
      <c r="C43" s="31">
        <v>4.3E-3</v>
      </c>
      <c r="D43" s="44">
        <f t="shared" si="0"/>
        <v>3.2376470588235293E-5</v>
      </c>
      <c r="E43" s="34">
        <f t="shared" si="1"/>
        <v>7.0904470588235293E-4</v>
      </c>
      <c r="F43" s="45">
        <f t="shared" si="2"/>
        <v>1.6188235294117647E-5</v>
      </c>
      <c r="G43" s="45">
        <f t="shared" si="2"/>
        <v>3.5452235294117647E-4</v>
      </c>
    </row>
    <row r="44" spans="1:9" x14ac:dyDescent="0.2">
      <c r="A44" s="31" t="s">
        <v>4</v>
      </c>
      <c r="B44" s="31" t="s">
        <v>3</v>
      </c>
      <c r="C44" s="31">
        <v>2.7000000000000001E-3</v>
      </c>
      <c r="D44" s="44">
        <f t="shared" si="0"/>
        <v>2.0329411764705884E-5</v>
      </c>
      <c r="E44" s="34">
        <f t="shared" si="1"/>
        <v>4.4521411764705885E-4</v>
      </c>
      <c r="F44" s="45">
        <f t="shared" si="2"/>
        <v>1.0164705882352942E-5</v>
      </c>
      <c r="G44" s="45">
        <f t="shared" si="2"/>
        <v>2.2260705882352943E-4</v>
      </c>
    </row>
    <row r="45" spans="1:9" x14ac:dyDescent="0.2">
      <c r="A45" s="31" t="s">
        <v>7</v>
      </c>
      <c r="B45" s="31" t="s">
        <v>6</v>
      </c>
      <c r="C45" s="31">
        <v>3.2</v>
      </c>
      <c r="D45" s="44">
        <f t="shared" si="0"/>
        <v>2.4094117647058825E-2</v>
      </c>
      <c r="E45" s="34">
        <f t="shared" si="1"/>
        <v>0.5276611764705883</v>
      </c>
      <c r="F45" s="45">
        <f t="shared" si="2"/>
        <v>1.2047058823529412E-2</v>
      </c>
      <c r="G45" s="45">
        <f t="shared" si="2"/>
        <v>0.26383058823529415</v>
      </c>
    </row>
    <row r="46" spans="1:9" x14ac:dyDescent="0.2">
      <c r="A46" s="31" t="s">
        <v>9</v>
      </c>
      <c r="B46" s="31" t="s">
        <v>8</v>
      </c>
      <c r="C46" s="31">
        <v>2.0000000000000001E-4</v>
      </c>
      <c r="D46" s="44">
        <f t="shared" si="0"/>
        <v>1.5058823529411766E-6</v>
      </c>
      <c r="E46" s="34">
        <f t="shared" si="1"/>
        <v>3.2978823529411767E-5</v>
      </c>
      <c r="F46" s="45">
        <f t="shared" si="2"/>
        <v>7.5294117647058831E-7</v>
      </c>
      <c r="G46" s="45">
        <f t="shared" si="2"/>
        <v>1.6489411764705883E-5</v>
      </c>
    </row>
    <row r="47" spans="1:9" x14ac:dyDescent="0.2">
      <c r="A47" s="31" t="s">
        <v>11</v>
      </c>
      <c r="B47" s="31" t="s">
        <v>10</v>
      </c>
      <c r="C47" s="31">
        <v>4.4000000000000003E-3</v>
      </c>
      <c r="D47" s="44">
        <f t="shared" si="0"/>
        <v>3.3129411764705883E-5</v>
      </c>
      <c r="E47" s="34">
        <f t="shared" si="1"/>
        <v>7.2553411764705888E-4</v>
      </c>
      <c r="F47" s="45">
        <f t="shared" si="2"/>
        <v>1.6564705882352942E-5</v>
      </c>
      <c r="G47" s="45">
        <f t="shared" si="2"/>
        <v>3.6276705882352944E-4</v>
      </c>
    </row>
    <row r="48" spans="1:9" x14ac:dyDescent="0.2">
      <c r="A48" s="31" t="s">
        <v>17</v>
      </c>
      <c r="B48" s="31" t="s">
        <v>16</v>
      </c>
      <c r="C48" s="31">
        <v>1.2E-5</v>
      </c>
      <c r="D48" s="44">
        <f t="shared" si="0"/>
        <v>9.0352941176470592E-8</v>
      </c>
      <c r="E48" s="34">
        <f t="shared" si="1"/>
        <v>1.9787294117647059E-6</v>
      </c>
      <c r="F48" s="45">
        <f t="shared" si="2"/>
        <v>4.5176470588235296E-8</v>
      </c>
      <c r="G48" s="45">
        <f t="shared" si="2"/>
        <v>9.8936470588235293E-7</v>
      </c>
    </row>
    <row r="49" spans="1:7" ht="17" x14ac:dyDescent="0.2">
      <c r="A49" s="31" t="s">
        <v>19</v>
      </c>
      <c r="B49" s="46" t="s">
        <v>18</v>
      </c>
      <c r="C49" s="31">
        <v>1.1000000000000001E-3</v>
      </c>
      <c r="D49" s="44">
        <f t="shared" si="0"/>
        <v>8.2823529411764708E-6</v>
      </c>
      <c r="E49" s="34">
        <f t="shared" si="1"/>
        <v>1.8138352941176472E-4</v>
      </c>
      <c r="F49" s="45">
        <f t="shared" si="2"/>
        <v>4.1411764705882354E-6</v>
      </c>
      <c r="G49" s="45">
        <f t="shared" si="2"/>
        <v>9.069176470588236E-5</v>
      </c>
    </row>
    <row r="50" spans="1:7" x14ac:dyDescent="0.2">
      <c r="A50" s="31" t="s">
        <v>21</v>
      </c>
      <c r="B50" s="31" t="s">
        <v>20</v>
      </c>
      <c r="C50" s="31">
        <v>1.4E-3</v>
      </c>
      <c r="D50" s="44">
        <f t="shared" si="0"/>
        <v>1.0541176470588235E-5</v>
      </c>
      <c r="E50" s="34">
        <f t="shared" si="1"/>
        <v>2.3085176470588235E-4</v>
      </c>
      <c r="F50" s="45">
        <f t="shared" si="2"/>
        <v>5.2705882352941176E-6</v>
      </c>
      <c r="G50" s="45">
        <f t="shared" si="2"/>
        <v>1.1542588235294117E-4</v>
      </c>
    </row>
    <row r="51" spans="1:7" x14ac:dyDescent="0.2">
      <c r="A51" s="31" t="s">
        <v>23</v>
      </c>
      <c r="B51" s="31" t="s">
        <v>22</v>
      </c>
      <c r="C51" s="31">
        <v>8.3999999999999995E-5</v>
      </c>
      <c r="D51" s="44">
        <f t="shared" si="0"/>
        <v>6.3247058823529412E-7</v>
      </c>
      <c r="E51" s="34">
        <f t="shared" si="1"/>
        <v>1.3851105882352941E-5</v>
      </c>
      <c r="F51" s="45">
        <f t="shared" si="2"/>
        <v>3.1623529411764706E-7</v>
      </c>
      <c r="G51" s="45">
        <f t="shared" si="2"/>
        <v>6.9255529411764705E-6</v>
      </c>
    </row>
    <row r="52" spans="1:7" x14ac:dyDescent="0.2">
      <c r="A52" s="31" t="s">
        <v>25</v>
      </c>
      <c r="B52" s="31" t="s">
        <v>24</v>
      </c>
      <c r="C52" s="31">
        <v>8.4999999999999995E-4</v>
      </c>
      <c r="D52" s="44">
        <f t="shared" si="0"/>
        <v>6.3999999999999997E-6</v>
      </c>
      <c r="E52" s="34">
        <f t="shared" si="1"/>
        <v>1.4015999999999999E-4</v>
      </c>
      <c r="F52" s="45">
        <f t="shared" si="2"/>
        <v>3.1999999999999999E-6</v>
      </c>
      <c r="G52" s="45">
        <f t="shared" si="2"/>
        <v>7.0079999999999993E-5</v>
      </c>
    </row>
    <row r="53" spans="1:7" x14ac:dyDescent="0.2">
      <c r="A53" s="31" t="s">
        <v>27</v>
      </c>
      <c r="B53" s="31" t="s">
        <v>26</v>
      </c>
      <c r="C53" s="31">
        <v>9.4999999999999998E-3</v>
      </c>
      <c r="D53" s="44">
        <f t="shared" si="0"/>
        <v>7.1529411764705882E-5</v>
      </c>
      <c r="E53" s="34">
        <f t="shared" si="1"/>
        <v>1.5664941176470589E-3</v>
      </c>
      <c r="F53" s="45">
        <f t="shared" si="2"/>
        <v>3.5764705882352941E-5</v>
      </c>
      <c r="G53" s="45">
        <f t="shared" si="2"/>
        <v>7.8324705882352943E-4</v>
      </c>
    </row>
    <row r="54" spans="1:7" x14ac:dyDescent="0.2">
      <c r="A54" s="31" t="s">
        <v>32</v>
      </c>
      <c r="B54" s="31" t="s">
        <v>31</v>
      </c>
      <c r="C54" s="31">
        <v>6.3E-3</v>
      </c>
      <c r="D54" s="44">
        <f t="shared" si="0"/>
        <v>4.7435294117647062E-5</v>
      </c>
      <c r="E54" s="34">
        <f t="shared" si="1"/>
        <v>1.0388329411764707E-3</v>
      </c>
      <c r="F54" s="45">
        <f t="shared" si="2"/>
        <v>2.3717647058823531E-5</v>
      </c>
      <c r="G54" s="45">
        <f t="shared" si="2"/>
        <v>5.1941647058823535E-4</v>
      </c>
    </row>
    <row r="55" spans="1:7" x14ac:dyDescent="0.2">
      <c r="A55" s="31" t="s">
        <v>35</v>
      </c>
      <c r="B55" s="31" t="s">
        <v>34</v>
      </c>
      <c r="C55" s="31">
        <v>5.0000000000000001E-4</v>
      </c>
      <c r="D55" s="44">
        <f t="shared" si="0"/>
        <v>3.7647058823529414E-6</v>
      </c>
      <c r="E55" s="34">
        <f t="shared" si="1"/>
        <v>8.2447058823529413E-5</v>
      </c>
      <c r="F55" s="45">
        <f t="shared" si="2"/>
        <v>1.8823529411764707E-6</v>
      </c>
      <c r="G55" s="45">
        <f t="shared" si="2"/>
        <v>4.1223529411764707E-5</v>
      </c>
    </row>
    <row r="56" spans="1:7" x14ac:dyDescent="0.2">
      <c r="A56" s="31" t="s">
        <v>37</v>
      </c>
      <c r="B56" s="31" t="s">
        <v>36</v>
      </c>
      <c r="C56" s="31">
        <v>3.8000000000000002E-4</v>
      </c>
      <c r="D56" s="44">
        <f t="shared" si="0"/>
        <v>2.8611764705882354E-6</v>
      </c>
      <c r="E56" s="34">
        <f t="shared" si="1"/>
        <v>6.2659764705882355E-5</v>
      </c>
      <c r="F56" s="45">
        <f t="shared" si="2"/>
        <v>1.4305882352941177E-6</v>
      </c>
      <c r="G56" s="45">
        <f t="shared" si="2"/>
        <v>3.1329882352941177E-5</v>
      </c>
    </row>
    <row r="57" spans="1:7" x14ac:dyDescent="0.2">
      <c r="A57" s="31" t="s">
        <v>39</v>
      </c>
      <c r="B57" s="31" t="s">
        <v>38</v>
      </c>
      <c r="C57" s="31">
        <v>2.5999999999999998E-4</v>
      </c>
      <c r="D57" s="44">
        <f t="shared" si="0"/>
        <v>1.9576470588235294E-6</v>
      </c>
      <c r="E57" s="34">
        <f t="shared" si="1"/>
        <v>4.2872470588235289E-5</v>
      </c>
      <c r="F57" s="45">
        <f t="shared" si="2"/>
        <v>9.788235294117647E-7</v>
      </c>
      <c r="G57" s="45">
        <f t="shared" si="2"/>
        <v>2.1436235294117645E-5</v>
      </c>
    </row>
    <row r="58" spans="1:7" x14ac:dyDescent="0.2">
      <c r="A58" s="31" t="s">
        <v>41</v>
      </c>
      <c r="B58" s="31" t="s">
        <v>40</v>
      </c>
      <c r="C58" s="31">
        <v>1.65E-3</v>
      </c>
      <c r="D58" s="44">
        <f t="shared" si="0"/>
        <v>1.2423529411764706E-5</v>
      </c>
      <c r="E58" s="34">
        <f t="shared" si="1"/>
        <v>2.7207529411764705E-4</v>
      </c>
      <c r="F58" s="45">
        <f t="shared" si="2"/>
        <v>6.2117647058823531E-6</v>
      </c>
      <c r="G58" s="45">
        <f t="shared" si="2"/>
        <v>1.3603764705882353E-4</v>
      </c>
    </row>
    <row r="59" spans="1:7" x14ac:dyDescent="0.2">
      <c r="A59" s="31" t="s">
        <v>45</v>
      </c>
      <c r="B59" s="31">
        <v>365</v>
      </c>
      <c r="C59" s="31">
        <v>2.0999999999999999E-3</v>
      </c>
      <c r="D59" s="44">
        <f t="shared" si="0"/>
        <v>1.5811764705882352E-5</v>
      </c>
      <c r="E59" s="34">
        <f t="shared" si="1"/>
        <v>3.4627764705882355E-4</v>
      </c>
      <c r="F59" s="45">
        <f t="shared" si="2"/>
        <v>7.9058823529411759E-6</v>
      </c>
      <c r="G59" s="45">
        <f t="shared" si="2"/>
        <v>1.7313882352941177E-4</v>
      </c>
    </row>
    <row r="60" spans="1:7" x14ac:dyDescent="0.2">
      <c r="A60" s="31" t="s">
        <v>52</v>
      </c>
      <c r="B60" s="31" t="s">
        <v>51</v>
      </c>
      <c r="C60" s="31">
        <v>2.4000000000000001E-5</v>
      </c>
      <c r="D60" s="44">
        <f t="shared" si="0"/>
        <v>1.8070588235294118E-7</v>
      </c>
      <c r="E60" s="34">
        <f t="shared" si="1"/>
        <v>3.9574588235294117E-6</v>
      </c>
      <c r="F60" s="45">
        <f t="shared" si="2"/>
        <v>9.0352941176470592E-8</v>
      </c>
      <c r="G60" s="45">
        <f t="shared" si="2"/>
        <v>1.9787294117647059E-6</v>
      </c>
    </row>
    <row r="61" spans="1:7" x14ac:dyDescent="0.2">
      <c r="A61" s="31" t="s">
        <v>54</v>
      </c>
      <c r="B61" s="31" t="s">
        <v>53</v>
      </c>
      <c r="C61" s="31">
        <v>3.6600000000000001E-2</v>
      </c>
      <c r="D61" s="44">
        <f t="shared" si="0"/>
        <v>2.755764705882353E-4</v>
      </c>
      <c r="E61" s="34">
        <f t="shared" si="1"/>
        <v>6.0351247058823537E-3</v>
      </c>
      <c r="F61" s="45">
        <f t="shared" si="2"/>
        <v>1.3778823529411765E-4</v>
      </c>
      <c r="G61" s="45">
        <f t="shared" si="2"/>
        <v>3.0175623529411768E-3</v>
      </c>
    </row>
    <row r="62" spans="1:7" x14ac:dyDescent="0.2">
      <c r="A62" s="31" t="s">
        <v>56</v>
      </c>
      <c r="B62" s="31" t="s">
        <v>55</v>
      </c>
      <c r="C62" s="31">
        <v>2.3E-3</v>
      </c>
      <c r="D62" s="44">
        <f t="shared" si="0"/>
        <v>1.7317647058823528E-5</v>
      </c>
      <c r="E62" s="34">
        <f t="shared" si="1"/>
        <v>3.7925647058823528E-4</v>
      </c>
      <c r="F62" s="45">
        <f t="shared" si="2"/>
        <v>8.658823529411764E-6</v>
      </c>
      <c r="G62" s="45">
        <f t="shared" si="2"/>
        <v>1.8962823529411764E-4</v>
      </c>
    </row>
    <row r="63" spans="1:7" x14ac:dyDescent="0.2">
      <c r="A63" s="31" t="s">
        <v>58</v>
      </c>
      <c r="B63" s="31" t="s">
        <v>57</v>
      </c>
      <c r="C63" s="31">
        <v>2.7199999999999998E-2</v>
      </c>
      <c r="D63" s="44">
        <f t="shared" si="0"/>
        <v>2.0479999999999999E-4</v>
      </c>
      <c r="E63" s="34">
        <f t="shared" si="1"/>
        <v>4.4851199999999996E-3</v>
      </c>
      <c r="F63" s="45">
        <f t="shared" si="2"/>
        <v>1.024E-4</v>
      </c>
      <c r="G63" s="45">
        <f t="shared" si="2"/>
        <v>2.2425599999999998E-3</v>
      </c>
    </row>
    <row r="64" spans="1:7" x14ac:dyDescent="0.2">
      <c r="A64" s="31" t="s">
        <v>60</v>
      </c>
      <c r="B64" s="31" t="s">
        <v>59</v>
      </c>
      <c r="C64" s="31">
        <v>2.9000000000000001E-2</v>
      </c>
      <c r="D64" s="44">
        <f t="shared" si="0"/>
        <v>2.1835294117647061E-4</v>
      </c>
      <c r="E64" s="34">
        <f t="shared" si="1"/>
        <v>4.7819294117647064E-3</v>
      </c>
      <c r="F64" s="45">
        <f t="shared" si="2"/>
        <v>1.091764705882353E-4</v>
      </c>
      <c r="G64" s="45">
        <f t="shared" si="2"/>
        <v>2.3909647058823532E-3</v>
      </c>
    </row>
    <row r="65" spans="1:7" x14ac:dyDescent="0.2">
      <c r="A65" s="31" t="s">
        <v>90</v>
      </c>
      <c r="B65" s="31"/>
      <c r="C65" s="31"/>
      <c r="D65" s="47">
        <f>SUM(D38:D64)</f>
        <v>2.5270672564705884E-2</v>
      </c>
      <c r="E65" s="47">
        <f>SUM(E38:E64)</f>
        <v>0.55342772916705874</v>
      </c>
      <c r="F65" s="47">
        <f>SUM(F38:F64)</f>
        <v>1.2635336282352942E-2</v>
      </c>
      <c r="G65" s="47">
        <f>SUM(G38:G64)</f>
        <v>0.27671386458352937</v>
      </c>
    </row>
    <row r="139" spans="1:8" x14ac:dyDescent="0.2">
      <c r="A139" s="281" t="s">
        <v>91</v>
      </c>
      <c r="B139" s="282"/>
      <c r="C139" s="282"/>
      <c r="D139" s="282"/>
      <c r="E139" s="283"/>
    </row>
    <row r="140" spans="1:8" x14ac:dyDescent="0.2">
      <c r="A140" s="48" t="s">
        <v>92</v>
      </c>
      <c r="B140" s="49">
        <v>1.04E-5</v>
      </c>
      <c r="C140" s="63" t="s">
        <v>93</v>
      </c>
      <c r="D140" s="51" t="s">
        <v>94</v>
      </c>
      <c r="E140" s="52" t="e">
        <f>B140*#REF!</f>
        <v>#REF!</v>
      </c>
      <c r="F140" t="s">
        <v>95</v>
      </c>
    </row>
    <row r="141" spans="1:8" x14ac:dyDescent="0.2">
      <c r="A141" s="48" t="s">
        <v>96</v>
      </c>
      <c r="B141" s="49">
        <v>1.0206E-2</v>
      </c>
      <c r="C141" s="63" t="s">
        <v>93</v>
      </c>
      <c r="D141" s="51" t="s">
        <v>94</v>
      </c>
      <c r="E141" s="52" t="e">
        <f>B141*#REF!</f>
        <v>#REF!</v>
      </c>
      <c r="F141" t="s">
        <v>95</v>
      </c>
    </row>
    <row r="142" spans="1:8" x14ac:dyDescent="0.2">
      <c r="A142" s="48" t="s">
        <v>97</v>
      </c>
      <c r="B142" s="49">
        <v>2.4700000000000001E-5</v>
      </c>
      <c r="C142" s="63" t="s">
        <v>93</v>
      </c>
      <c r="D142" s="51" t="s">
        <v>94</v>
      </c>
      <c r="E142" s="53" t="e">
        <f>B142*#REF!</f>
        <v>#REF!</v>
      </c>
      <c r="F142" t="s">
        <v>95</v>
      </c>
      <c r="G142" s="24" t="e">
        <f>SUM(E140:E142)</f>
        <v>#REF!</v>
      </c>
      <c r="H142" t="s">
        <v>95</v>
      </c>
    </row>
    <row r="143" spans="1:8" x14ac:dyDescent="0.2">
      <c r="A143" s="281" t="s">
        <v>98</v>
      </c>
      <c r="B143" s="282"/>
      <c r="C143" s="282"/>
      <c r="D143" s="282"/>
      <c r="E143" s="283"/>
      <c r="G143" t="e">
        <f>G142*1.10231</f>
        <v>#REF!</v>
      </c>
      <c r="H143" t="s">
        <v>99</v>
      </c>
    </row>
    <row r="144" spans="1:8" x14ac:dyDescent="0.2">
      <c r="A144" s="48" t="s">
        <v>13</v>
      </c>
      <c r="B144" s="49">
        <v>7.76E-4</v>
      </c>
      <c r="C144" s="63" t="s">
        <v>100</v>
      </c>
      <c r="D144" s="51" t="s">
        <v>101</v>
      </c>
      <c r="E144" s="54" t="e">
        <f>B144*#REF!*#REF!/1000000/2000</f>
        <v>#REF!</v>
      </c>
    </row>
    <row r="145" spans="1:8" x14ac:dyDescent="0.2">
      <c r="A145" s="48" t="s">
        <v>54</v>
      </c>
      <c r="B145" s="49">
        <v>2.81E-4</v>
      </c>
      <c r="C145" s="63" t="s">
        <v>100</v>
      </c>
      <c r="D145" s="51" t="s">
        <v>101</v>
      </c>
      <c r="E145" s="55" t="e">
        <f>B145*#REF!*#REF!/1000000/2000</f>
        <v>#REF!</v>
      </c>
      <c r="G145">
        <v>2490</v>
      </c>
    </row>
    <row r="146" spans="1:8" x14ac:dyDescent="0.2">
      <c r="A146" s="48" t="s">
        <v>102</v>
      </c>
      <c r="B146" s="49">
        <v>1.93E-4</v>
      </c>
      <c r="C146" s="63" t="s">
        <v>100</v>
      </c>
      <c r="D146" s="51" t="s">
        <v>101</v>
      </c>
      <c r="E146" s="55" t="e">
        <f>B146*#REF!*#REF!/1000000/2000</f>
        <v>#REF!</v>
      </c>
      <c r="G146">
        <f>G145*1.10231</f>
        <v>2744.7518999999998</v>
      </c>
      <c r="H146" t="s">
        <v>99</v>
      </c>
    </row>
    <row r="147" spans="1:8" x14ac:dyDescent="0.2">
      <c r="A147" s="48" t="s">
        <v>30</v>
      </c>
      <c r="B147" s="49">
        <v>7.8899999999999993E-5</v>
      </c>
      <c r="C147" s="63" t="s">
        <v>100</v>
      </c>
      <c r="D147" s="51" t="s">
        <v>101</v>
      </c>
      <c r="E147" s="55" t="e">
        <f>B147*#REF!*#REF!/1000000/2000</f>
        <v>#REF!</v>
      </c>
    </row>
    <row r="148" spans="1:8" x14ac:dyDescent="0.2">
      <c r="A148" s="48" t="s">
        <v>2</v>
      </c>
      <c r="B148" s="49">
        <v>2.5199999999999999E-5</v>
      </c>
      <c r="C148" s="63" t="s">
        <v>100</v>
      </c>
      <c r="D148" s="51" t="s">
        <v>101</v>
      </c>
      <c r="E148" s="56" t="e">
        <f>B148*#REF!*#REF!/1000000/2000</f>
        <v>#REF!</v>
      </c>
    </row>
    <row r="149" spans="1:8" x14ac:dyDescent="0.2">
      <c r="A149" s="48" t="s">
        <v>4</v>
      </c>
      <c r="B149" s="49">
        <v>7.8800000000000008E-6</v>
      </c>
      <c r="C149" s="63" t="s">
        <v>100</v>
      </c>
      <c r="D149" s="51" t="s">
        <v>101</v>
      </c>
      <c r="E149" s="56" t="e">
        <f>B149*#REF!*#REF!/1000000/2000</f>
        <v>#REF!</v>
      </c>
    </row>
    <row r="150" spans="1:8" x14ac:dyDescent="0.2">
      <c r="A150" s="48" t="s">
        <v>103</v>
      </c>
      <c r="B150" s="49">
        <v>1.2999999999999999E-4</v>
      </c>
      <c r="C150" s="63" t="s">
        <v>100</v>
      </c>
      <c r="D150" s="51" t="s">
        <v>101</v>
      </c>
      <c r="E150" s="55" t="e">
        <f>B150*#REF!*#REF!/1000000/2000</f>
        <v>#REF!</v>
      </c>
    </row>
    <row r="151" spans="1:8" x14ac:dyDescent="0.2">
      <c r="A151" s="48" t="s">
        <v>104</v>
      </c>
      <c r="B151" s="49">
        <v>2.12E-4</v>
      </c>
      <c r="C151" s="63" t="s">
        <v>100</v>
      </c>
      <c r="D151" s="51" t="s">
        <v>101</v>
      </c>
      <c r="E151" s="55" t="e">
        <f>B151*#REF!*#REF!/1000000/2000</f>
        <v>#REF!</v>
      </c>
    </row>
    <row r="152" spans="1:8" x14ac:dyDescent="0.2">
      <c r="A152" s="48" t="s">
        <v>105</v>
      </c>
      <c r="B152" s="49"/>
      <c r="C152" s="63"/>
      <c r="D152" s="48"/>
      <c r="E152" s="54" t="e">
        <f>SUM(E144:E151)</f>
        <v>#REF!</v>
      </c>
    </row>
    <row r="153" spans="1:8" x14ac:dyDescent="0.2">
      <c r="B153" s="57"/>
      <c r="C153" s="3"/>
      <c r="E153" s="24"/>
    </row>
    <row r="154" spans="1:8" x14ac:dyDescent="0.2">
      <c r="A154" t="s">
        <v>106</v>
      </c>
      <c r="B154" s="57"/>
      <c r="C154" s="3"/>
      <c r="E154" s="24"/>
    </row>
    <row r="155" spans="1:8" x14ac:dyDescent="0.2">
      <c r="A155" t="s">
        <v>107</v>
      </c>
      <c r="B155" s="57"/>
      <c r="C155" s="3"/>
      <c r="E155" s="24"/>
    </row>
    <row r="156" spans="1:8" x14ac:dyDescent="0.2">
      <c r="A156" t="s">
        <v>108</v>
      </c>
      <c r="B156" s="57"/>
      <c r="C156" s="3"/>
      <c r="E156" s="24"/>
    </row>
    <row r="157" spans="1:8" x14ac:dyDescent="0.2">
      <c r="A157" t="s">
        <v>109</v>
      </c>
      <c r="B157" s="57"/>
      <c r="C157" s="3"/>
      <c r="E157" s="24"/>
    </row>
    <row r="158" spans="1:8" x14ac:dyDescent="0.2">
      <c r="A158" t="s">
        <v>110</v>
      </c>
      <c r="B158" s="57"/>
      <c r="C158" s="3"/>
      <c r="E158" s="24"/>
    </row>
    <row r="160" spans="1:8" x14ac:dyDescent="0.2">
      <c r="A160" s="58" t="s">
        <v>111</v>
      </c>
    </row>
    <row r="162" spans="1:7" x14ac:dyDescent="0.2">
      <c r="A162" s="63" t="s">
        <v>78</v>
      </c>
      <c r="B162" s="63" t="s">
        <v>79</v>
      </c>
      <c r="C162" s="63" t="s">
        <v>80</v>
      </c>
      <c r="D162" s="63" t="s">
        <v>81</v>
      </c>
      <c r="E162" s="63" t="s">
        <v>82</v>
      </c>
      <c r="F162" s="59" t="s">
        <v>112</v>
      </c>
      <c r="G162" s="63" t="s">
        <v>113</v>
      </c>
    </row>
    <row r="163" spans="1:7" x14ac:dyDescent="0.2">
      <c r="A163" s="270" t="s">
        <v>62</v>
      </c>
      <c r="B163" s="284"/>
      <c r="C163" s="284"/>
      <c r="D163" s="284"/>
      <c r="E163" s="284"/>
      <c r="F163" s="284"/>
      <c r="G163" s="271"/>
    </row>
    <row r="164" spans="1:7" x14ac:dyDescent="0.2">
      <c r="A164" s="60" t="e">
        <f>#REF!</f>
        <v>#REF!</v>
      </c>
      <c r="B164" s="60" t="e">
        <f>#REF!</f>
        <v>#REF!</v>
      </c>
      <c r="C164" s="60" t="e">
        <f>#REF!</f>
        <v>#REF!</v>
      </c>
      <c r="D164" s="61" t="e">
        <f>#REF!</f>
        <v>#REF!</v>
      </c>
      <c r="E164" s="61" t="e">
        <f>#REF!</f>
        <v>#REF!</v>
      </c>
      <c r="F164" s="60" t="e">
        <f>SUM(E140:E142)</f>
        <v>#REF!</v>
      </c>
      <c r="G164" s="54" t="e">
        <f>E152</f>
        <v>#REF!</v>
      </c>
    </row>
    <row r="168" spans="1:7" ht="24" x14ac:dyDescent="0.3">
      <c r="A168" s="62"/>
      <c r="C168" s="12"/>
      <c r="D168" s="12"/>
      <c r="E168" s="12"/>
      <c r="F168" s="13"/>
    </row>
    <row r="169" spans="1:7" ht="24" x14ac:dyDescent="0.3">
      <c r="A169" s="62"/>
      <c r="C169" s="12"/>
      <c r="D169" s="12"/>
      <c r="E169" s="12"/>
      <c r="F169" s="13"/>
    </row>
    <row r="170" spans="1:7" ht="24" x14ac:dyDescent="0.3">
      <c r="A170" s="62"/>
      <c r="C170" s="12"/>
      <c r="D170" s="12"/>
      <c r="E170" s="12"/>
      <c r="F170" s="13"/>
    </row>
    <row r="171" spans="1:7" ht="24" x14ac:dyDescent="0.3">
      <c r="A171" s="62"/>
      <c r="C171" s="12"/>
      <c r="D171" s="12"/>
      <c r="E171" s="12"/>
      <c r="F171" s="13"/>
    </row>
    <row r="172" spans="1:7" ht="24" x14ac:dyDescent="0.3">
      <c r="A172" s="62"/>
      <c r="C172" s="12"/>
      <c r="D172" s="12"/>
      <c r="E172" s="12"/>
      <c r="F172" s="13"/>
    </row>
    <row r="173" spans="1:7" ht="24" x14ac:dyDescent="0.3">
      <c r="A173" s="62"/>
      <c r="C173" s="12"/>
      <c r="D173" s="12"/>
      <c r="E173" s="12"/>
      <c r="F173" s="13"/>
    </row>
    <row r="174" spans="1:7" ht="24" x14ac:dyDescent="0.3">
      <c r="A174" s="62"/>
      <c r="C174" s="12"/>
      <c r="D174" s="12"/>
      <c r="E174" s="12"/>
      <c r="F174" s="13"/>
    </row>
    <row r="175" spans="1:7" ht="24" x14ac:dyDescent="0.3">
      <c r="A175" s="62"/>
      <c r="B175" s="11"/>
      <c r="C175" s="12"/>
      <c r="D175" s="12"/>
      <c r="E175" s="12"/>
      <c r="F175" s="13"/>
    </row>
    <row r="177" spans="1:6" x14ac:dyDescent="0.2">
      <c r="A177" s="58"/>
    </row>
    <row r="178" spans="1:6" x14ac:dyDescent="0.2">
      <c r="A178" s="58"/>
    </row>
    <row r="179" spans="1:6" x14ac:dyDescent="0.2">
      <c r="A179" t="s">
        <v>114</v>
      </c>
      <c r="B179" s="22">
        <v>624500</v>
      </c>
      <c r="C179" t="s">
        <v>115</v>
      </c>
    </row>
    <row r="180" spans="1:6" x14ac:dyDescent="0.2">
      <c r="A180" t="s">
        <v>116</v>
      </c>
      <c r="B180" s="22">
        <v>138000</v>
      </c>
      <c r="C180" t="s">
        <v>117</v>
      </c>
    </row>
    <row r="182" spans="1:6" ht="20" customHeight="1" x14ac:dyDescent="0.2">
      <c r="A182" s="285" t="s">
        <v>76</v>
      </c>
      <c r="B182" s="286" t="s">
        <v>118</v>
      </c>
      <c r="C182" s="286"/>
      <c r="D182" s="286"/>
      <c r="E182" s="287" t="s">
        <v>119</v>
      </c>
    </row>
    <row r="183" spans="1:6" ht="31" customHeight="1" x14ac:dyDescent="0.2">
      <c r="A183" s="285"/>
      <c r="B183" s="63" t="s">
        <v>120</v>
      </c>
      <c r="C183" s="63" t="s">
        <v>121</v>
      </c>
      <c r="D183" s="63" t="s">
        <v>0</v>
      </c>
      <c r="E183" s="288"/>
    </row>
    <row r="184" spans="1:6" ht="17" customHeight="1" x14ac:dyDescent="0.2">
      <c r="A184" s="278" t="s">
        <v>122</v>
      </c>
      <c r="B184" s="279"/>
      <c r="C184" s="279"/>
      <c r="D184" s="279"/>
      <c r="E184" s="280"/>
    </row>
    <row r="185" spans="1:6" x14ac:dyDescent="0.2">
      <c r="A185" s="48" t="s">
        <v>78</v>
      </c>
      <c r="B185" s="49" t="e">
        <f>#REF!</f>
        <v>#REF!</v>
      </c>
      <c r="C185" s="63" t="s">
        <v>123</v>
      </c>
      <c r="D185" s="51" t="s">
        <v>124</v>
      </c>
      <c r="E185" s="52" t="e">
        <f>B185*$B$179/2000</f>
        <v>#REF!</v>
      </c>
    </row>
    <row r="186" spans="1:6" x14ac:dyDescent="0.2">
      <c r="A186" s="48" t="s">
        <v>79</v>
      </c>
      <c r="B186" s="49" t="e">
        <f>#REF!</f>
        <v>#REF!</v>
      </c>
      <c r="C186" s="63" t="s">
        <v>123</v>
      </c>
      <c r="D186" s="51" t="s">
        <v>124</v>
      </c>
      <c r="E186" s="52" t="e">
        <f>B186*$B$179/2000</f>
        <v>#REF!</v>
      </c>
    </row>
    <row r="187" spans="1:6" x14ac:dyDescent="0.2">
      <c r="A187" s="48" t="s">
        <v>80</v>
      </c>
      <c r="B187" s="49" t="e">
        <f>#REF!</f>
        <v>#REF!</v>
      </c>
      <c r="C187" s="63" t="s">
        <v>123</v>
      </c>
      <c r="D187" s="51" t="s">
        <v>124</v>
      </c>
      <c r="E187" s="53" t="e">
        <f>B187*$B$179/2000</f>
        <v>#REF!</v>
      </c>
    </row>
    <row r="188" spans="1:6" x14ac:dyDescent="0.2">
      <c r="A188" s="48" t="s">
        <v>81</v>
      </c>
      <c r="B188" s="49" t="e">
        <f>#REF!</f>
        <v>#REF!</v>
      </c>
      <c r="C188" s="63" t="s">
        <v>123</v>
      </c>
      <c r="D188" s="51" t="s">
        <v>124</v>
      </c>
      <c r="E188" s="53" t="e">
        <f>B188*$B$179/2000</f>
        <v>#REF!</v>
      </c>
    </row>
    <row r="189" spans="1:6" x14ac:dyDescent="0.2">
      <c r="A189" s="48" t="s">
        <v>82</v>
      </c>
      <c r="B189" s="49" t="e">
        <f>#REF!</f>
        <v>#REF!</v>
      </c>
      <c r="C189" s="63" t="s">
        <v>123</v>
      </c>
      <c r="D189" s="51" t="s">
        <v>124</v>
      </c>
      <c r="E189" s="53" t="e">
        <f>B189*$B$179/2000</f>
        <v>#REF!</v>
      </c>
    </row>
    <row r="190" spans="1:6" x14ac:dyDescent="0.2">
      <c r="A190" s="48" t="s">
        <v>125</v>
      </c>
      <c r="B190" s="49">
        <v>8.3000000000000001E-3</v>
      </c>
      <c r="C190" s="63" t="s">
        <v>126</v>
      </c>
      <c r="D190" s="51" t="s">
        <v>127</v>
      </c>
      <c r="E190" s="55">
        <f>B190*B179/1000/2000</f>
        <v>2.5916750000000003E-3</v>
      </c>
    </row>
    <row r="191" spans="1:6" x14ac:dyDescent="0.2">
      <c r="A191" s="281" t="s">
        <v>91</v>
      </c>
      <c r="B191" s="282"/>
      <c r="C191" s="282"/>
      <c r="D191" s="282"/>
      <c r="E191" s="283"/>
    </row>
    <row r="192" spans="1:6" x14ac:dyDescent="0.2">
      <c r="A192" s="48" t="s">
        <v>92</v>
      </c>
      <c r="B192" s="49">
        <v>1.04E-5</v>
      </c>
      <c r="C192" s="63" t="s">
        <v>93</v>
      </c>
      <c r="D192" s="51" t="s">
        <v>94</v>
      </c>
      <c r="E192" s="52">
        <f>B192*$B$179</f>
        <v>6.4948000000000006</v>
      </c>
      <c r="F192" t="s">
        <v>95</v>
      </c>
    </row>
    <row r="193" spans="1:6" x14ac:dyDescent="0.2">
      <c r="A193" s="48" t="s">
        <v>96</v>
      </c>
      <c r="B193" s="49">
        <v>1.0206E-2</v>
      </c>
      <c r="C193" s="63" t="s">
        <v>93</v>
      </c>
      <c r="D193" s="51" t="s">
        <v>94</v>
      </c>
      <c r="E193" s="65">
        <f>B193*$B$179</f>
        <v>6373.6469999999999</v>
      </c>
      <c r="F193" t="s">
        <v>95</v>
      </c>
    </row>
    <row r="194" spans="1:6" x14ac:dyDescent="0.2">
      <c r="A194" s="48" t="s">
        <v>97</v>
      </c>
      <c r="B194" s="49">
        <v>2.4700000000000001E-5</v>
      </c>
      <c r="C194" s="63" t="s">
        <v>93</v>
      </c>
      <c r="D194" s="51" t="s">
        <v>94</v>
      </c>
      <c r="E194" s="52">
        <f>B194*$B$179</f>
        <v>15.42515</v>
      </c>
      <c r="F194" t="s">
        <v>95</v>
      </c>
    </row>
    <row r="195" spans="1:6" x14ac:dyDescent="0.2">
      <c r="A195" s="281" t="s">
        <v>98</v>
      </c>
      <c r="B195" s="282"/>
      <c r="C195" s="282"/>
      <c r="D195" s="282"/>
      <c r="E195" s="283"/>
    </row>
    <row r="196" spans="1:6" x14ac:dyDescent="0.2">
      <c r="A196" s="48" t="s">
        <v>13</v>
      </c>
      <c r="B196" s="49">
        <v>7.76E-4</v>
      </c>
      <c r="C196" s="63" t="s">
        <v>100</v>
      </c>
      <c r="D196" s="51" t="s">
        <v>101</v>
      </c>
      <c r="E196" s="54">
        <f t="shared" ref="E196:E203" si="3">B196*$B$179*$B$180/1000000/2000</f>
        <v>3.3438228E-2</v>
      </c>
    </row>
    <row r="197" spans="1:6" x14ac:dyDescent="0.2">
      <c r="A197" s="48" t="s">
        <v>54</v>
      </c>
      <c r="B197" s="49">
        <v>2.81E-4</v>
      </c>
      <c r="C197" s="63" t="s">
        <v>100</v>
      </c>
      <c r="D197" s="51" t="s">
        <v>101</v>
      </c>
      <c r="E197" s="55">
        <f t="shared" si="3"/>
        <v>1.2108430500000001E-2</v>
      </c>
    </row>
    <row r="198" spans="1:6" x14ac:dyDescent="0.2">
      <c r="A198" s="48" t="s">
        <v>102</v>
      </c>
      <c r="B198" s="49">
        <v>1.93E-4</v>
      </c>
      <c r="C198" s="63" t="s">
        <v>100</v>
      </c>
      <c r="D198" s="51" t="s">
        <v>101</v>
      </c>
      <c r="E198" s="55">
        <f t="shared" si="3"/>
        <v>8.3164665000000013E-3</v>
      </c>
    </row>
    <row r="199" spans="1:6" x14ac:dyDescent="0.2">
      <c r="A199" s="48" t="s">
        <v>30</v>
      </c>
      <c r="B199" s="49">
        <v>7.8899999999999993E-5</v>
      </c>
      <c r="C199" s="63" t="s">
        <v>100</v>
      </c>
      <c r="D199" s="51" t="s">
        <v>101</v>
      </c>
      <c r="E199" s="55">
        <f t="shared" si="3"/>
        <v>3.3998404499999998E-3</v>
      </c>
    </row>
    <row r="200" spans="1:6" x14ac:dyDescent="0.2">
      <c r="A200" s="48" t="s">
        <v>2</v>
      </c>
      <c r="B200" s="49">
        <v>2.5199999999999999E-5</v>
      </c>
      <c r="C200" s="63" t="s">
        <v>100</v>
      </c>
      <c r="D200" s="51" t="s">
        <v>101</v>
      </c>
      <c r="E200" s="56">
        <f t="shared" si="3"/>
        <v>1.0858805999999998E-3</v>
      </c>
    </row>
    <row r="201" spans="1:6" x14ac:dyDescent="0.2">
      <c r="A201" s="48" t="s">
        <v>4</v>
      </c>
      <c r="B201" s="49">
        <v>7.8800000000000008E-6</v>
      </c>
      <c r="C201" s="63" t="s">
        <v>100</v>
      </c>
      <c r="D201" s="51" t="s">
        <v>101</v>
      </c>
      <c r="E201" s="56">
        <f t="shared" si="3"/>
        <v>3.3955314000000007E-4</v>
      </c>
    </row>
    <row r="202" spans="1:6" x14ac:dyDescent="0.2">
      <c r="A202" s="48" t="s">
        <v>103</v>
      </c>
      <c r="B202" s="49">
        <v>1.2999999999999999E-4</v>
      </c>
      <c r="C202" s="63" t="s">
        <v>100</v>
      </c>
      <c r="D202" s="51" t="s">
        <v>101</v>
      </c>
      <c r="E202" s="55">
        <f t="shared" si="3"/>
        <v>5.6017649999999999E-3</v>
      </c>
    </row>
    <row r="203" spans="1:6" x14ac:dyDescent="0.2">
      <c r="A203" s="48" t="s">
        <v>104</v>
      </c>
      <c r="B203" s="49">
        <v>2.12E-4</v>
      </c>
      <c r="C203" s="63" t="s">
        <v>100</v>
      </c>
      <c r="D203" s="51" t="s">
        <v>101</v>
      </c>
      <c r="E203" s="55">
        <f t="shared" si="3"/>
        <v>9.135186E-3</v>
      </c>
    </row>
    <row r="204" spans="1:6" x14ac:dyDescent="0.2">
      <c r="A204" s="48" t="s">
        <v>105</v>
      </c>
      <c r="B204" s="49"/>
      <c r="C204" s="63"/>
      <c r="D204" s="48"/>
      <c r="E204" s="54">
        <f>SUM(E196:E203)</f>
        <v>7.3425350190000002E-2</v>
      </c>
    </row>
    <row r="205" spans="1:6" x14ac:dyDescent="0.2">
      <c r="B205" s="57"/>
      <c r="C205" s="3"/>
      <c r="E205" s="24"/>
    </row>
    <row r="206" spans="1:6" x14ac:dyDescent="0.2">
      <c r="A206" t="s">
        <v>106</v>
      </c>
      <c r="B206" s="57"/>
      <c r="C206" s="3"/>
      <c r="E206" s="24"/>
    </row>
    <row r="207" spans="1:6" x14ac:dyDescent="0.2">
      <c r="A207" t="s">
        <v>107</v>
      </c>
      <c r="B207" s="57"/>
      <c r="C207" s="3"/>
      <c r="E207" s="24"/>
    </row>
    <row r="208" spans="1:6" x14ac:dyDescent="0.2">
      <c r="A208" t="s">
        <v>108</v>
      </c>
      <c r="B208" s="57"/>
      <c r="C208" s="3"/>
      <c r="E208" s="24"/>
    </row>
    <row r="209" spans="1:7" x14ac:dyDescent="0.2">
      <c r="A209" t="s">
        <v>109</v>
      </c>
      <c r="B209" s="57"/>
      <c r="C209" s="3"/>
      <c r="E209" s="24"/>
    </row>
    <row r="210" spans="1:7" x14ac:dyDescent="0.2">
      <c r="B210" s="57"/>
      <c r="C210" s="3"/>
      <c r="E210" s="24"/>
    </row>
    <row r="212" spans="1:7" x14ac:dyDescent="0.2">
      <c r="A212" s="58" t="s">
        <v>128</v>
      </c>
    </row>
    <row r="214" spans="1:7" x14ac:dyDescent="0.2">
      <c r="A214" s="63" t="s">
        <v>78</v>
      </c>
      <c r="B214" s="63" t="s">
        <v>79</v>
      </c>
      <c r="C214" s="63" t="s">
        <v>80</v>
      </c>
      <c r="D214" s="63" t="s">
        <v>81</v>
      </c>
      <c r="E214" s="63" t="s">
        <v>82</v>
      </c>
      <c r="F214" s="59" t="s">
        <v>112</v>
      </c>
      <c r="G214" s="63" t="s">
        <v>113</v>
      </c>
    </row>
    <row r="215" spans="1:7" x14ac:dyDescent="0.2">
      <c r="A215" s="270" t="s">
        <v>62</v>
      </c>
      <c r="B215" s="284"/>
      <c r="C215" s="284"/>
      <c r="D215" s="284"/>
      <c r="E215" s="284"/>
      <c r="F215" s="284"/>
      <c r="G215" s="271"/>
    </row>
    <row r="216" spans="1:7" x14ac:dyDescent="0.2">
      <c r="A216" s="60" t="e">
        <f>E185</f>
        <v>#REF!</v>
      </c>
      <c r="B216" s="60" t="e">
        <f>E186</f>
        <v>#REF!</v>
      </c>
      <c r="C216" s="60" t="e">
        <f>E187</f>
        <v>#REF!</v>
      </c>
      <c r="D216" s="61" t="e">
        <f>E188</f>
        <v>#REF!</v>
      </c>
      <c r="E216" s="61" t="e">
        <f>E189</f>
        <v>#REF!</v>
      </c>
      <c r="F216" s="60">
        <f>SUM(E192:E194)</f>
        <v>6395.5669500000004</v>
      </c>
      <c r="G216" s="54">
        <f>E204</f>
        <v>7.3425350190000002E-2</v>
      </c>
    </row>
  </sheetData>
  <mergeCells count="14">
    <mergeCell ref="A143:E143"/>
    <mergeCell ref="A21:C21"/>
    <mergeCell ref="A30:C30"/>
    <mergeCell ref="A36:E36"/>
    <mergeCell ref="F36:G36"/>
    <mergeCell ref="A139:E139"/>
    <mergeCell ref="A195:E195"/>
    <mergeCell ref="A215:G215"/>
    <mergeCell ref="A163:G163"/>
    <mergeCell ref="A182:A183"/>
    <mergeCell ref="B182:D182"/>
    <mergeCell ref="E182:E183"/>
    <mergeCell ref="A184:E184"/>
    <mergeCell ref="A191:E191"/>
  </mergeCells>
  <printOptions horizontalCentered="1"/>
  <pageMargins left="0.75" right="0.75" top="1" bottom="1" header="0.5" footer="0.5"/>
  <pageSetup scale="99" fitToHeight="2" orientation="portrait" horizontalDpi="4294967292" verticalDpi="4294967292"/>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8C259-AB31-2940-A58E-D6515DFB37B6}">
  <sheetPr>
    <tabColor rgb="FF008000"/>
    <pageSetUpPr fitToPage="1"/>
  </sheetPr>
  <dimension ref="A1:K216"/>
  <sheetViews>
    <sheetView topLeftCell="A33" zoomScale="85" zoomScaleNormal="85" workbookViewId="0">
      <selection activeCell="D38" sqref="D38:D64"/>
    </sheetView>
  </sheetViews>
  <sheetFormatPr baseColWidth="10" defaultColWidth="11" defaultRowHeight="16" x14ac:dyDescent="0.2"/>
  <cols>
    <col min="1" max="1" width="35.5" customWidth="1"/>
    <col min="2" max="2" width="15.83203125" customWidth="1"/>
    <col min="3" max="3" width="15.33203125" customWidth="1"/>
    <col min="4" max="10" width="9.6640625" customWidth="1"/>
    <col min="13" max="13" width="12.6640625" customWidth="1"/>
    <col min="14" max="14" width="14" customWidth="1"/>
  </cols>
  <sheetData>
    <row r="1" spans="1:11" ht="21" x14ac:dyDescent="0.25">
      <c r="A1" s="10"/>
      <c r="B1" s="11"/>
      <c r="C1" s="12"/>
      <c r="D1" s="12"/>
      <c r="E1" s="12"/>
      <c r="F1" s="13"/>
    </row>
    <row r="3" spans="1:11" x14ac:dyDescent="0.2">
      <c r="A3" s="14"/>
    </row>
    <row r="4" spans="1:11" ht="18" x14ac:dyDescent="0.2">
      <c r="A4" s="15" t="s">
        <v>295</v>
      </c>
    </row>
    <row r="6" spans="1:11" s="20" customFormat="1" x14ac:dyDescent="0.2">
      <c r="A6" s="16" t="s">
        <v>288</v>
      </c>
      <c r="B6" s="17">
        <v>1</v>
      </c>
      <c r="C6" s="18"/>
      <c r="D6" s="19"/>
      <c r="F6"/>
      <c r="G6"/>
      <c r="H6"/>
      <c r="I6"/>
      <c r="J6"/>
      <c r="K6"/>
    </row>
    <row r="7" spans="1:11" s="20" customFormat="1" x14ac:dyDescent="0.2">
      <c r="A7" s="18" t="s">
        <v>63</v>
      </c>
      <c r="B7" s="21">
        <v>0.9</v>
      </c>
      <c r="C7" s="18" t="s">
        <v>64</v>
      </c>
      <c r="D7" s="19"/>
      <c r="F7" s="66"/>
      <c r="G7"/>
      <c r="H7"/>
      <c r="I7"/>
      <c r="J7"/>
      <c r="K7"/>
    </row>
    <row r="8" spans="1:11" x14ac:dyDescent="0.2">
      <c r="A8" s="18" t="s">
        <v>65</v>
      </c>
      <c r="B8" s="22">
        <v>1020</v>
      </c>
      <c r="C8" t="s">
        <v>66</v>
      </c>
    </row>
    <row r="9" spans="1:11" x14ac:dyDescent="0.2">
      <c r="A9" s="18" t="s">
        <v>67</v>
      </c>
      <c r="B9" s="22">
        <v>24</v>
      </c>
    </row>
    <row r="10" spans="1:11" x14ac:dyDescent="0.2">
      <c r="A10" s="18" t="s">
        <v>68</v>
      </c>
      <c r="B10" s="17">
        <v>8760</v>
      </c>
    </row>
    <row r="11" spans="1:11" x14ac:dyDescent="0.2">
      <c r="A11" s="18" t="s">
        <v>130</v>
      </c>
      <c r="B11" s="192">
        <v>1</v>
      </c>
      <c r="F11" s="66"/>
      <c r="I11" s="66" t="s">
        <v>152</v>
      </c>
    </row>
    <row r="12" spans="1:11" ht="15.75" customHeight="1" x14ac:dyDescent="0.2">
      <c r="A12" s="18" t="s">
        <v>69</v>
      </c>
      <c r="B12" s="24">
        <f>B6*B7*B10*B11</f>
        <v>7884</v>
      </c>
      <c r="C12" t="s">
        <v>70</v>
      </c>
      <c r="D12" s="25"/>
    </row>
    <row r="13" spans="1:11" ht="15.75" customHeight="1" x14ac:dyDescent="0.2">
      <c r="A13" s="18" t="s">
        <v>69</v>
      </c>
      <c r="B13" s="24">
        <f>B12/B8</f>
        <v>7.7294117647058824</v>
      </c>
      <c r="C13" t="s">
        <v>71</v>
      </c>
      <c r="D13" s="25"/>
    </row>
    <row r="14" spans="1:11" x14ac:dyDescent="0.2">
      <c r="A14" s="18"/>
      <c r="B14" s="22"/>
    </row>
    <row r="15" spans="1:11" ht="15.75" customHeight="1" x14ac:dyDescent="0.2">
      <c r="A15" s="18"/>
      <c r="B15" s="24"/>
      <c r="D15" s="25"/>
    </row>
    <row r="16" spans="1:11" s="20" customFormat="1" x14ac:dyDescent="0.2">
      <c r="A16" s="16" t="s">
        <v>129</v>
      </c>
      <c r="B16" s="17"/>
      <c r="C16" s="18"/>
      <c r="D16" s="19"/>
    </row>
    <row r="17" spans="1:4" ht="15.75" customHeight="1" x14ac:dyDescent="0.2">
      <c r="A17" s="18" t="s">
        <v>72</v>
      </c>
      <c r="B17" s="24">
        <f>B12</f>
        <v>7884</v>
      </c>
      <c r="C17" t="s">
        <v>70</v>
      </c>
      <c r="D17" s="25"/>
    </row>
    <row r="18" spans="1:4" ht="15.75" customHeight="1" x14ac:dyDescent="0.2">
      <c r="A18" s="18" t="s">
        <v>72</v>
      </c>
      <c r="B18" s="24">
        <f>B13</f>
        <v>7.7294117647058824</v>
      </c>
      <c r="C18" t="s">
        <v>71</v>
      </c>
      <c r="D18" s="25"/>
    </row>
    <row r="19" spans="1:4" ht="15.75" customHeight="1" x14ac:dyDescent="0.2">
      <c r="A19" s="18" t="s">
        <v>73</v>
      </c>
      <c r="B19" s="161">
        <f>B6*B7/B8*B9</f>
        <v>2.1176470588235297E-2</v>
      </c>
      <c r="C19" t="s">
        <v>74</v>
      </c>
      <c r="D19" s="25"/>
    </row>
    <row r="20" spans="1:4" ht="15.75" customHeight="1" x14ac:dyDescent="0.2">
      <c r="A20" s="18"/>
      <c r="B20" s="24"/>
      <c r="D20" s="28"/>
    </row>
    <row r="21" spans="1:4" ht="18" customHeight="1" x14ac:dyDescent="0.2">
      <c r="A21" s="272" t="s">
        <v>75</v>
      </c>
      <c r="B21" s="272"/>
      <c r="C21" s="272"/>
    </row>
    <row r="22" spans="1:4" ht="47" customHeight="1" x14ac:dyDescent="0.2">
      <c r="A22" s="29" t="s">
        <v>76</v>
      </c>
      <c r="B22" s="30" t="s">
        <v>77</v>
      </c>
      <c r="C22" s="29" t="s">
        <v>131</v>
      </c>
    </row>
    <row r="23" spans="1:4" ht="15.75" customHeight="1" x14ac:dyDescent="0.2">
      <c r="A23" s="31" t="s">
        <v>78</v>
      </c>
      <c r="B23" s="31">
        <v>100</v>
      </c>
      <c r="C23" s="34">
        <f>B23*$B$18/2000</f>
        <v>0.38647058823529412</v>
      </c>
    </row>
    <row r="24" spans="1:4" ht="15.75" customHeight="1" x14ac:dyDescent="0.2">
      <c r="A24" s="31" t="s">
        <v>79</v>
      </c>
      <c r="B24" s="31">
        <v>84</v>
      </c>
      <c r="C24" s="34">
        <f>B24*$B$18/2000</f>
        <v>0.32463529411764702</v>
      </c>
    </row>
    <row r="25" spans="1:4" ht="15.75" customHeight="1" x14ac:dyDescent="0.2">
      <c r="A25" s="31" t="s">
        <v>80</v>
      </c>
      <c r="B25" s="31">
        <v>5.5</v>
      </c>
      <c r="C25" s="67">
        <f>B25*$B$18/2000</f>
        <v>2.1255882352941177E-2</v>
      </c>
    </row>
    <row r="26" spans="1:4" ht="15.75" customHeight="1" x14ac:dyDescent="0.2">
      <c r="A26" s="31" t="s">
        <v>81</v>
      </c>
      <c r="B26" s="31">
        <v>2.5</v>
      </c>
      <c r="C26" s="67">
        <f>B26*$B$18/2000</f>
        <v>9.6617647058823541E-3</v>
      </c>
    </row>
    <row r="27" spans="1:4" x14ac:dyDescent="0.2">
      <c r="A27" s="31" t="s">
        <v>82</v>
      </c>
      <c r="B27" s="31">
        <v>2.6</v>
      </c>
      <c r="C27" s="67">
        <f>B27*$B$18/2000</f>
        <v>1.0048235294117648E-2</v>
      </c>
    </row>
    <row r="28" spans="1:4" x14ac:dyDescent="0.2">
      <c r="A28" s="35" t="s">
        <v>83</v>
      </c>
      <c r="B28" s="36"/>
      <c r="C28" s="37"/>
    </row>
    <row r="29" spans="1:4" x14ac:dyDescent="0.2">
      <c r="A29" s="38"/>
      <c r="B29" s="38"/>
      <c r="C29" s="39"/>
    </row>
    <row r="30" spans="1:4" ht="18" customHeight="1" x14ac:dyDescent="0.2">
      <c r="A30" s="272" t="s">
        <v>84</v>
      </c>
      <c r="B30" s="272"/>
      <c r="C30" s="272"/>
    </row>
    <row r="31" spans="1:4" ht="49" customHeight="1" x14ac:dyDescent="0.2">
      <c r="A31" s="29" t="s">
        <v>76</v>
      </c>
      <c r="B31" s="30" t="s">
        <v>85</v>
      </c>
      <c r="C31" s="29" t="s">
        <v>131</v>
      </c>
    </row>
    <row r="32" spans="1:4" x14ac:dyDescent="0.2">
      <c r="A32" s="31" t="s">
        <v>86</v>
      </c>
      <c r="B32" s="31">
        <v>53.114800000000002</v>
      </c>
      <c r="C32" s="33">
        <f>(B32*B17/1000)*1.10231</f>
        <v>461.60012038219196</v>
      </c>
    </row>
    <row r="33" spans="1:9" x14ac:dyDescent="0.2">
      <c r="A33" s="35" t="s">
        <v>87</v>
      </c>
      <c r="B33" s="36"/>
      <c r="C33" s="37"/>
    </row>
    <row r="34" spans="1:9" x14ac:dyDescent="0.2">
      <c r="C34" s="26"/>
    </row>
    <row r="35" spans="1:9" x14ac:dyDescent="0.2">
      <c r="C35" s="26"/>
    </row>
    <row r="36" spans="1:9" ht="18" customHeight="1" x14ac:dyDescent="0.2">
      <c r="A36" s="273" t="s">
        <v>88</v>
      </c>
      <c r="B36" s="274"/>
      <c r="C36" s="274"/>
      <c r="D36" s="274"/>
      <c r="E36" s="275"/>
      <c r="F36" s="276" t="s">
        <v>132</v>
      </c>
      <c r="G36" s="277"/>
    </row>
    <row r="37" spans="1:9" ht="52" customHeight="1" x14ac:dyDescent="0.4">
      <c r="A37" s="40" t="s">
        <v>76</v>
      </c>
      <c r="B37" s="40" t="s">
        <v>89</v>
      </c>
      <c r="C37" s="41" t="s">
        <v>77</v>
      </c>
      <c r="D37" s="69" t="s">
        <v>133</v>
      </c>
      <c r="E37" s="69" t="s">
        <v>134</v>
      </c>
      <c r="F37" s="69" t="s">
        <v>133</v>
      </c>
      <c r="G37" s="69" t="s">
        <v>134</v>
      </c>
      <c r="I37" s="43"/>
    </row>
    <row r="38" spans="1:9" x14ac:dyDescent="0.2">
      <c r="A38" s="31" t="s">
        <v>13</v>
      </c>
      <c r="B38" s="31" t="s">
        <v>12</v>
      </c>
      <c r="C38" s="31">
        <v>8.0000000000000002E-3</v>
      </c>
      <c r="D38" s="44">
        <f t="shared" ref="D38:D64" si="0">C38*$B$19</f>
        <v>1.6941176470588237E-4</v>
      </c>
      <c r="E38" s="34">
        <f t="shared" ref="E38:E64" si="1">C38*$B$18</f>
        <v>6.1835294117647058E-2</v>
      </c>
      <c r="F38" s="45">
        <f t="shared" ref="F38:G64" si="2">D38/$B$6</f>
        <v>1.6941176470588237E-4</v>
      </c>
      <c r="G38" s="45">
        <f t="shared" si="2"/>
        <v>6.1835294117647058E-2</v>
      </c>
    </row>
    <row r="39" spans="1:9" x14ac:dyDescent="0.2">
      <c r="A39" s="31" t="s">
        <v>30</v>
      </c>
      <c r="B39" s="31" t="s">
        <v>29</v>
      </c>
      <c r="C39" s="31">
        <v>1.7000000000000001E-2</v>
      </c>
      <c r="D39" s="44">
        <f t="shared" si="0"/>
        <v>3.6000000000000008E-4</v>
      </c>
      <c r="E39" s="34">
        <f t="shared" si="1"/>
        <v>0.13140000000000002</v>
      </c>
      <c r="F39" s="45">
        <f t="shared" si="2"/>
        <v>3.6000000000000008E-4</v>
      </c>
      <c r="G39" s="45">
        <f t="shared" si="2"/>
        <v>0.13140000000000002</v>
      </c>
    </row>
    <row r="40" spans="1:9" x14ac:dyDescent="0.2">
      <c r="A40" s="31" t="s">
        <v>48</v>
      </c>
      <c r="B40" s="31">
        <v>401</v>
      </c>
      <c r="C40" s="31">
        <v>1E-4</v>
      </c>
      <c r="D40" s="44">
        <f t="shared" si="0"/>
        <v>2.1176470588235296E-6</v>
      </c>
      <c r="E40" s="34">
        <f t="shared" si="1"/>
        <v>7.7294117647058833E-4</v>
      </c>
      <c r="F40" s="45">
        <f t="shared" si="2"/>
        <v>2.1176470588235296E-6</v>
      </c>
      <c r="G40" s="45">
        <f t="shared" si="2"/>
        <v>7.7294117647058833E-4</v>
      </c>
    </row>
    <row r="41" spans="1:9" x14ac:dyDescent="0.2">
      <c r="A41" s="31" t="s">
        <v>15</v>
      </c>
      <c r="B41" s="31" t="s">
        <v>14</v>
      </c>
      <c r="C41" s="31">
        <v>1.1999999999999999E-6</v>
      </c>
      <c r="D41" s="44">
        <f t="shared" si="0"/>
        <v>2.5411764705882355E-8</v>
      </c>
      <c r="E41" s="34">
        <f t="shared" si="1"/>
        <v>9.2752941176470583E-6</v>
      </c>
      <c r="F41" s="45">
        <f t="shared" si="2"/>
        <v>2.5411764705882355E-8</v>
      </c>
      <c r="G41" s="45">
        <f t="shared" si="2"/>
        <v>9.2752941176470583E-6</v>
      </c>
    </row>
    <row r="42" spans="1:9" x14ac:dyDescent="0.2">
      <c r="A42" s="31" t="s">
        <v>43</v>
      </c>
      <c r="B42" s="31" t="s">
        <v>42</v>
      </c>
      <c r="C42" s="31">
        <v>2.9999999999999997E-4</v>
      </c>
      <c r="D42" s="44">
        <f t="shared" si="0"/>
        <v>6.3529411764705887E-6</v>
      </c>
      <c r="E42" s="34">
        <f t="shared" si="1"/>
        <v>2.3188235294117647E-3</v>
      </c>
      <c r="F42" s="45">
        <f t="shared" si="2"/>
        <v>6.3529411764705887E-6</v>
      </c>
      <c r="G42" s="45">
        <f t="shared" si="2"/>
        <v>2.3188235294117647E-3</v>
      </c>
    </row>
    <row r="43" spans="1:9" x14ac:dyDescent="0.2">
      <c r="A43" s="31" t="s">
        <v>2</v>
      </c>
      <c r="B43" s="31" t="s">
        <v>1</v>
      </c>
      <c r="C43" s="31">
        <v>4.3E-3</v>
      </c>
      <c r="D43" s="44">
        <f t="shared" si="0"/>
        <v>9.1058823529411773E-5</v>
      </c>
      <c r="E43" s="34">
        <f t="shared" si="1"/>
        <v>3.3236470588235298E-2</v>
      </c>
      <c r="F43" s="45">
        <f t="shared" si="2"/>
        <v>9.1058823529411773E-5</v>
      </c>
      <c r="G43" s="45">
        <f t="shared" si="2"/>
        <v>3.3236470588235298E-2</v>
      </c>
    </row>
    <row r="44" spans="1:9" x14ac:dyDescent="0.2">
      <c r="A44" s="31" t="s">
        <v>4</v>
      </c>
      <c r="B44" s="31" t="s">
        <v>3</v>
      </c>
      <c r="C44" s="31">
        <v>2.7000000000000001E-3</v>
      </c>
      <c r="D44" s="44">
        <f t="shared" si="0"/>
        <v>5.7176470588235307E-5</v>
      </c>
      <c r="E44" s="34">
        <f t="shared" si="1"/>
        <v>2.0869411764705883E-2</v>
      </c>
      <c r="F44" s="45">
        <f t="shared" si="2"/>
        <v>5.7176470588235307E-5</v>
      </c>
      <c r="G44" s="45">
        <f t="shared" si="2"/>
        <v>2.0869411764705883E-2</v>
      </c>
    </row>
    <row r="45" spans="1:9" x14ac:dyDescent="0.2">
      <c r="A45" s="31" t="s">
        <v>7</v>
      </c>
      <c r="B45" s="31" t="s">
        <v>6</v>
      </c>
      <c r="C45" s="31">
        <v>3.2</v>
      </c>
      <c r="D45" s="44">
        <f t="shared" si="0"/>
        <v>6.7764705882352949E-2</v>
      </c>
      <c r="E45" s="34">
        <f t="shared" si="1"/>
        <v>24.734117647058824</v>
      </c>
      <c r="F45" s="45">
        <f t="shared" si="2"/>
        <v>6.7764705882352949E-2</v>
      </c>
      <c r="G45" s="45">
        <f t="shared" si="2"/>
        <v>24.734117647058824</v>
      </c>
    </row>
    <row r="46" spans="1:9" x14ac:dyDescent="0.2">
      <c r="A46" s="31" t="s">
        <v>9</v>
      </c>
      <c r="B46" s="31" t="s">
        <v>8</v>
      </c>
      <c r="C46" s="31">
        <v>2.0000000000000001E-4</v>
      </c>
      <c r="D46" s="44">
        <f t="shared" si="0"/>
        <v>4.2352941176470591E-6</v>
      </c>
      <c r="E46" s="34">
        <f t="shared" si="1"/>
        <v>1.5458823529411767E-3</v>
      </c>
      <c r="F46" s="45">
        <f t="shared" si="2"/>
        <v>4.2352941176470591E-6</v>
      </c>
      <c r="G46" s="45">
        <f t="shared" si="2"/>
        <v>1.5458823529411767E-3</v>
      </c>
    </row>
    <row r="47" spans="1:9" x14ac:dyDescent="0.2">
      <c r="A47" s="31" t="s">
        <v>11</v>
      </c>
      <c r="B47" s="31" t="s">
        <v>10</v>
      </c>
      <c r="C47" s="31">
        <v>4.4000000000000003E-3</v>
      </c>
      <c r="D47" s="44">
        <f t="shared" si="0"/>
        <v>9.3176470588235308E-5</v>
      </c>
      <c r="E47" s="34">
        <f t="shared" si="1"/>
        <v>3.4009411764705885E-2</v>
      </c>
      <c r="F47" s="45">
        <f t="shared" si="2"/>
        <v>9.3176470588235308E-5</v>
      </c>
      <c r="G47" s="45">
        <f t="shared" si="2"/>
        <v>3.4009411764705885E-2</v>
      </c>
    </row>
    <row r="48" spans="1:9" x14ac:dyDescent="0.2">
      <c r="A48" s="31" t="s">
        <v>17</v>
      </c>
      <c r="B48" s="31" t="s">
        <v>16</v>
      </c>
      <c r="C48" s="31">
        <v>1.2E-5</v>
      </c>
      <c r="D48" s="44">
        <f t="shared" si="0"/>
        <v>2.5411764705882357E-7</v>
      </c>
      <c r="E48" s="34">
        <f t="shared" si="1"/>
        <v>9.275294117647059E-5</v>
      </c>
      <c r="F48" s="45">
        <f t="shared" si="2"/>
        <v>2.5411764705882357E-7</v>
      </c>
      <c r="G48" s="45">
        <f t="shared" si="2"/>
        <v>9.275294117647059E-5</v>
      </c>
    </row>
    <row r="49" spans="1:7" ht="17" x14ac:dyDescent="0.2">
      <c r="A49" s="31" t="s">
        <v>19</v>
      </c>
      <c r="B49" s="46" t="s">
        <v>18</v>
      </c>
      <c r="C49" s="31">
        <v>1.1000000000000001E-3</v>
      </c>
      <c r="D49" s="44">
        <f t="shared" si="0"/>
        <v>2.3294117647058827E-5</v>
      </c>
      <c r="E49" s="34">
        <f t="shared" si="1"/>
        <v>8.5023529411764713E-3</v>
      </c>
      <c r="F49" s="45">
        <f t="shared" si="2"/>
        <v>2.3294117647058827E-5</v>
      </c>
      <c r="G49" s="45">
        <f t="shared" si="2"/>
        <v>8.5023529411764713E-3</v>
      </c>
    </row>
    <row r="50" spans="1:7" x14ac:dyDescent="0.2">
      <c r="A50" s="31" t="s">
        <v>21</v>
      </c>
      <c r="B50" s="31" t="s">
        <v>20</v>
      </c>
      <c r="C50" s="31">
        <v>1.4E-3</v>
      </c>
      <c r="D50" s="44">
        <f t="shared" si="0"/>
        <v>2.9647058823529414E-5</v>
      </c>
      <c r="E50" s="34">
        <f t="shared" si="1"/>
        <v>1.0821176470588235E-2</v>
      </c>
      <c r="F50" s="45">
        <f t="shared" si="2"/>
        <v>2.9647058823529414E-5</v>
      </c>
      <c r="G50" s="45">
        <f t="shared" si="2"/>
        <v>1.0821176470588235E-2</v>
      </c>
    </row>
    <row r="51" spans="1:7" x14ac:dyDescent="0.2">
      <c r="A51" s="31" t="s">
        <v>23</v>
      </c>
      <c r="B51" s="31" t="s">
        <v>22</v>
      </c>
      <c r="C51" s="31">
        <v>8.3999999999999995E-5</v>
      </c>
      <c r="D51" s="44">
        <f t="shared" si="0"/>
        <v>1.7788235294117649E-6</v>
      </c>
      <c r="E51" s="34">
        <f t="shared" si="1"/>
        <v>6.492705882352941E-4</v>
      </c>
      <c r="F51" s="45">
        <f t="shared" si="2"/>
        <v>1.7788235294117649E-6</v>
      </c>
      <c r="G51" s="45">
        <f t="shared" si="2"/>
        <v>6.492705882352941E-4</v>
      </c>
    </row>
    <row r="52" spans="1:7" x14ac:dyDescent="0.2">
      <c r="A52" s="31" t="s">
        <v>25</v>
      </c>
      <c r="B52" s="31" t="s">
        <v>24</v>
      </c>
      <c r="C52" s="31">
        <v>8.4999999999999995E-4</v>
      </c>
      <c r="D52" s="44">
        <f t="shared" si="0"/>
        <v>1.8E-5</v>
      </c>
      <c r="E52" s="34">
        <f t="shared" si="1"/>
        <v>6.5699999999999995E-3</v>
      </c>
      <c r="F52" s="45">
        <f t="shared" si="2"/>
        <v>1.8E-5</v>
      </c>
      <c r="G52" s="45">
        <f t="shared" si="2"/>
        <v>6.5699999999999995E-3</v>
      </c>
    </row>
    <row r="53" spans="1:7" x14ac:dyDescent="0.2">
      <c r="A53" s="31" t="s">
        <v>27</v>
      </c>
      <c r="B53" s="31" t="s">
        <v>26</v>
      </c>
      <c r="C53" s="31">
        <v>9.4999999999999998E-3</v>
      </c>
      <c r="D53" s="44">
        <f t="shared" si="0"/>
        <v>2.011764705882353E-4</v>
      </c>
      <c r="E53" s="34">
        <f t="shared" si="1"/>
        <v>7.3429411764705882E-2</v>
      </c>
      <c r="F53" s="45">
        <f t="shared" si="2"/>
        <v>2.011764705882353E-4</v>
      </c>
      <c r="G53" s="45">
        <f t="shared" si="2"/>
        <v>7.3429411764705882E-2</v>
      </c>
    </row>
    <row r="54" spans="1:7" x14ac:dyDescent="0.2">
      <c r="A54" s="31" t="s">
        <v>32</v>
      </c>
      <c r="B54" s="31" t="s">
        <v>31</v>
      </c>
      <c r="C54" s="31">
        <v>6.3E-3</v>
      </c>
      <c r="D54" s="44">
        <f t="shared" si="0"/>
        <v>1.3341176470588236E-4</v>
      </c>
      <c r="E54" s="34">
        <f t="shared" si="1"/>
        <v>4.8695294117647059E-2</v>
      </c>
      <c r="F54" s="45">
        <f t="shared" si="2"/>
        <v>1.3341176470588236E-4</v>
      </c>
      <c r="G54" s="45">
        <f t="shared" si="2"/>
        <v>4.8695294117647059E-2</v>
      </c>
    </row>
    <row r="55" spans="1:7" x14ac:dyDescent="0.2">
      <c r="A55" s="31" t="s">
        <v>35</v>
      </c>
      <c r="B55" s="31" t="s">
        <v>34</v>
      </c>
      <c r="C55" s="31">
        <v>5.0000000000000001E-4</v>
      </c>
      <c r="D55" s="44">
        <f t="shared" si="0"/>
        <v>1.0588235294117648E-5</v>
      </c>
      <c r="E55" s="34">
        <f t="shared" si="1"/>
        <v>3.8647058823529411E-3</v>
      </c>
      <c r="F55" s="45">
        <f t="shared" si="2"/>
        <v>1.0588235294117648E-5</v>
      </c>
      <c r="G55" s="45">
        <f t="shared" si="2"/>
        <v>3.8647058823529411E-3</v>
      </c>
    </row>
    <row r="56" spans="1:7" x14ac:dyDescent="0.2">
      <c r="A56" s="31" t="s">
        <v>37</v>
      </c>
      <c r="B56" s="31" t="s">
        <v>36</v>
      </c>
      <c r="C56" s="31">
        <v>3.8000000000000002E-4</v>
      </c>
      <c r="D56" s="44">
        <f t="shared" si="0"/>
        <v>8.0470588235294123E-6</v>
      </c>
      <c r="E56" s="34">
        <f t="shared" si="1"/>
        <v>2.9371764705882356E-3</v>
      </c>
      <c r="F56" s="45">
        <f t="shared" si="2"/>
        <v>8.0470588235294123E-6</v>
      </c>
      <c r="G56" s="45">
        <f t="shared" si="2"/>
        <v>2.9371764705882356E-3</v>
      </c>
    </row>
    <row r="57" spans="1:7" x14ac:dyDescent="0.2">
      <c r="A57" s="31" t="s">
        <v>39</v>
      </c>
      <c r="B57" s="31" t="s">
        <v>38</v>
      </c>
      <c r="C57" s="31">
        <v>2.5999999999999998E-4</v>
      </c>
      <c r="D57" s="44">
        <f t="shared" si="0"/>
        <v>5.5058823529411769E-6</v>
      </c>
      <c r="E57" s="34">
        <f t="shared" si="1"/>
        <v>2.0096470588235292E-3</v>
      </c>
      <c r="F57" s="45">
        <f t="shared" si="2"/>
        <v>5.5058823529411769E-6</v>
      </c>
      <c r="G57" s="45">
        <f t="shared" si="2"/>
        <v>2.0096470588235292E-3</v>
      </c>
    </row>
    <row r="58" spans="1:7" x14ac:dyDescent="0.2">
      <c r="A58" s="31" t="s">
        <v>41</v>
      </c>
      <c r="B58" s="31" t="s">
        <v>40</v>
      </c>
      <c r="C58" s="31">
        <v>1.65E-3</v>
      </c>
      <c r="D58" s="44">
        <f t="shared" si="0"/>
        <v>3.494117647058824E-5</v>
      </c>
      <c r="E58" s="34">
        <f t="shared" si="1"/>
        <v>1.2753529411764705E-2</v>
      </c>
      <c r="F58" s="45">
        <f t="shared" si="2"/>
        <v>3.494117647058824E-5</v>
      </c>
      <c r="G58" s="45">
        <f t="shared" si="2"/>
        <v>1.2753529411764705E-2</v>
      </c>
    </row>
    <row r="59" spans="1:7" x14ac:dyDescent="0.2">
      <c r="A59" s="31" t="s">
        <v>45</v>
      </c>
      <c r="B59" s="31">
        <v>365</v>
      </c>
      <c r="C59" s="31">
        <v>2.0999999999999999E-3</v>
      </c>
      <c r="D59" s="44">
        <f t="shared" si="0"/>
        <v>4.4470588235294119E-5</v>
      </c>
      <c r="E59" s="34">
        <f t="shared" si="1"/>
        <v>1.6231764705882352E-2</v>
      </c>
      <c r="F59" s="45">
        <f t="shared" si="2"/>
        <v>4.4470588235294119E-5</v>
      </c>
      <c r="G59" s="45">
        <f t="shared" si="2"/>
        <v>1.6231764705882352E-2</v>
      </c>
    </row>
    <row r="60" spans="1:7" x14ac:dyDescent="0.2">
      <c r="A60" s="31" t="s">
        <v>52</v>
      </c>
      <c r="B60" s="31" t="s">
        <v>51</v>
      </c>
      <c r="C60" s="31">
        <v>2.4000000000000001E-5</v>
      </c>
      <c r="D60" s="44">
        <f t="shared" si="0"/>
        <v>5.0823529411764714E-7</v>
      </c>
      <c r="E60" s="34">
        <f t="shared" si="1"/>
        <v>1.8550588235294118E-4</v>
      </c>
      <c r="F60" s="45">
        <f t="shared" si="2"/>
        <v>5.0823529411764714E-7</v>
      </c>
      <c r="G60" s="45">
        <f t="shared" si="2"/>
        <v>1.8550588235294118E-4</v>
      </c>
    </row>
    <row r="61" spans="1:7" x14ac:dyDescent="0.2">
      <c r="A61" s="31" t="s">
        <v>54</v>
      </c>
      <c r="B61" s="31" t="s">
        <v>53</v>
      </c>
      <c r="C61" s="31">
        <v>3.6600000000000001E-2</v>
      </c>
      <c r="D61" s="44">
        <f t="shared" si="0"/>
        <v>7.7505882352941189E-4</v>
      </c>
      <c r="E61" s="34">
        <f t="shared" si="1"/>
        <v>0.2828964705882353</v>
      </c>
      <c r="F61" s="45">
        <f t="shared" si="2"/>
        <v>7.7505882352941189E-4</v>
      </c>
      <c r="G61" s="45">
        <f t="shared" si="2"/>
        <v>0.2828964705882353</v>
      </c>
    </row>
    <row r="62" spans="1:7" x14ac:dyDescent="0.2">
      <c r="A62" s="31" t="s">
        <v>56</v>
      </c>
      <c r="B62" s="31" t="s">
        <v>55</v>
      </c>
      <c r="C62" s="31">
        <v>2.3E-3</v>
      </c>
      <c r="D62" s="44">
        <f t="shared" si="0"/>
        <v>4.8705882352941182E-5</v>
      </c>
      <c r="E62" s="34">
        <f t="shared" si="1"/>
        <v>1.777764705882353E-2</v>
      </c>
      <c r="F62" s="45">
        <f t="shared" si="2"/>
        <v>4.8705882352941182E-5</v>
      </c>
      <c r="G62" s="45">
        <f t="shared" si="2"/>
        <v>1.777764705882353E-2</v>
      </c>
    </row>
    <row r="63" spans="1:7" x14ac:dyDescent="0.2">
      <c r="A63" s="31" t="s">
        <v>58</v>
      </c>
      <c r="B63" s="31" t="s">
        <v>57</v>
      </c>
      <c r="C63" s="31">
        <v>2.7199999999999998E-2</v>
      </c>
      <c r="D63" s="44">
        <f t="shared" si="0"/>
        <v>5.7600000000000001E-4</v>
      </c>
      <c r="E63" s="34">
        <f t="shared" si="1"/>
        <v>0.21023999999999998</v>
      </c>
      <c r="F63" s="45">
        <f t="shared" si="2"/>
        <v>5.7600000000000001E-4</v>
      </c>
      <c r="G63" s="45">
        <f t="shared" si="2"/>
        <v>0.21023999999999998</v>
      </c>
    </row>
    <row r="64" spans="1:7" x14ac:dyDescent="0.2">
      <c r="A64" s="31" t="s">
        <v>60</v>
      </c>
      <c r="B64" s="31" t="s">
        <v>59</v>
      </c>
      <c r="C64" s="31">
        <v>2.9000000000000001E-2</v>
      </c>
      <c r="D64" s="44">
        <f t="shared" si="0"/>
        <v>6.1411764705882358E-4</v>
      </c>
      <c r="E64" s="34">
        <f t="shared" si="1"/>
        <v>0.22415294117647061</v>
      </c>
      <c r="F64" s="45">
        <f t="shared" si="2"/>
        <v>6.1411764705882358E-4</v>
      </c>
      <c r="G64" s="45">
        <f t="shared" si="2"/>
        <v>0.22415294117647061</v>
      </c>
    </row>
    <row r="65" spans="1:7" x14ac:dyDescent="0.2">
      <c r="A65" s="31" t="s">
        <v>90</v>
      </c>
      <c r="B65" s="31"/>
      <c r="C65" s="31"/>
      <c r="D65" s="47">
        <f>SUM(D38:D64)</f>
        <v>7.1073766588235276E-2</v>
      </c>
      <c r="E65" s="47">
        <f>SUM(E38:E64)</f>
        <v>25.941924804705881</v>
      </c>
      <c r="F65" s="47">
        <f>SUM(F38:F64)</f>
        <v>7.1073766588235276E-2</v>
      </c>
      <c r="G65" s="47">
        <f>SUM(G38:G64)</f>
        <v>25.941924804705881</v>
      </c>
    </row>
    <row r="139" spans="1:8" x14ac:dyDescent="0.2">
      <c r="A139" s="281" t="s">
        <v>91</v>
      </c>
      <c r="B139" s="282"/>
      <c r="C139" s="282"/>
      <c r="D139" s="282"/>
      <c r="E139" s="283"/>
    </row>
    <row r="140" spans="1:8" x14ac:dyDescent="0.2">
      <c r="A140" s="48" t="s">
        <v>92</v>
      </c>
      <c r="B140" s="49">
        <v>1.04E-5</v>
      </c>
      <c r="C140" s="68" t="s">
        <v>93</v>
      </c>
      <c r="D140" s="51" t="s">
        <v>94</v>
      </c>
      <c r="E140" s="52" t="e">
        <f>B140*#REF!</f>
        <v>#REF!</v>
      </c>
      <c r="F140" t="s">
        <v>95</v>
      </c>
    </row>
    <row r="141" spans="1:8" x14ac:dyDescent="0.2">
      <c r="A141" s="48" t="s">
        <v>96</v>
      </c>
      <c r="B141" s="49">
        <v>1.0206E-2</v>
      </c>
      <c r="C141" s="68" t="s">
        <v>93</v>
      </c>
      <c r="D141" s="51" t="s">
        <v>94</v>
      </c>
      <c r="E141" s="52" t="e">
        <f>B141*#REF!</f>
        <v>#REF!</v>
      </c>
      <c r="F141" t="s">
        <v>95</v>
      </c>
    </row>
    <row r="142" spans="1:8" x14ac:dyDescent="0.2">
      <c r="A142" s="48" t="s">
        <v>97</v>
      </c>
      <c r="B142" s="49">
        <v>2.4700000000000001E-5</v>
      </c>
      <c r="C142" s="68" t="s">
        <v>93</v>
      </c>
      <c r="D142" s="51" t="s">
        <v>94</v>
      </c>
      <c r="E142" s="53" t="e">
        <f>B142*#REF!</f>
        <v>#REF!</v>
      </c>
      <c r="F142" t="s">
        <v>95</v>
      </c>
      <c r="G142" s="24" t="e">
        <f>SUM(E140:E142)</f>
        <v>#REF!</v>
      </c>
      <c r="H142" t="s">
        <v>95</v>
      </c>
    </row>
    <row r="143" spans="1:8" x14ac:dyDescent="0.2">
      <c r="A143" s="281" t="s">
        <v>98</v>
      </c>
      <c r="B143" s="282"/>
      <c r="C143" s="282"/>
      <c r="D143" s="282"/>
      <c r="E143" s="283"/>
      <c r="G143" t="e">
        <f>G142*1.10231</f>
        <v>#REF!</v>
      </c>
      <c r="H143" t="s">
        <v>99</v>
      </c>
    </row>
    <row r="144" spans="1:8" x14ac:dyDescent="0.2">
      <c r="A144" s="48" t="s">
        <v>13</v>
      </c>
      <c r="B144" s="49">
        <v>7.76E-4</v>
      </c>
      <c r="C144" s="68" t="s">
        <v>100</v>
      </c>
      <c r="D144" s="51" t="s">
        <v>101</v>
      </c>
      <c r="E144" s="54" t="e">
        <f>B144*#REF!*#REF!/1000000/2000</f>
        <v>#REF!</v>
      </c>
    </row>
    <row r="145" spans="1:8" x14ac:dyDescent="0.2">
      <c r="A145" s="48" t="s">
        <v>54</v>
      </c>
      <c r="B145" s="49">
        <v>2.81E-4</v>
      </c>
      <c r="C145" s="68" t="s">
        <v>100</v>
      </c>
      <c r="D145" s="51" t="s">
        <v>101</v>
      </c>
      <c r="E145" s="55" t="e">
        <f>B145*#REF!*#REF!/1000000/2000</f>
        <v>#REF!</v>
      </c>
      <c r="G145">
        <v>2490</v>
      </c>
    </row>
    <row r="146" spans="1:8" x14ac:dyDescent="0.2">
      <c r="A146" s="48" t="s">
        <v>102</v>
      </c>
      <c r="B146" s="49">
        <v>1.93E-4</v>
      </c>
      <c r="C146" s="68" t="s">
        <v>100</v>
      </c>
      <c r="D146" s="51" t="s">
        <v>101</v>
      </c>
      <c r="E146" s="55" t="e">
        <f>B146*#REF!*#REF!/1000000/2000</f>
        <v>#REF!</v>
      </c>
      <c r="G146">
        <f>G145*1.10231</f>
        <v>2744.7518999999998</v>
      </c>
      <c r="H146" t="s">
        <v>99</v>
      </c>
    </row>
    <row r="147" spans="1:8" x14ac:dyDescent="0.2">
      <c r="A147" s="48" t="s">
        <v>30</v>
      </c>
      <c r="B147" s="49">
        <v>7.8899999999999993E-5</v>
      </c>
      <c r="C147" s="68" t="s">
        <v>100</v>
      </c>
      <c r="D147" s="51" t="s">
        <v>101</v>
      </c>
      <c r="E147" s="55" t="e">
        <f>B147*#REF!*#REF!/1000000/2000</f>
        <v>#REF!</v>
      </c>
    </row>
    <row r="148" spans="1:8" x14ac:dyDescent="0.2">
      <c r="A148" s="48" t="s">
        <v>2</v>
      </c>
      <c r="B148" s="49">
        <v>2.5199999999999999E-5</v>
      </c>
      <c r="C148" s="68" t="s">
        <v>100</v>
      </c>
      <c r="D148" s="51" t="s">
        <v>101</v>
      </c>
      <c r="E148" s="56" t="e">
        <f>B148*#REF!*#REF!/1000000/2000</f>
        <v>#REF!</v>
      </c>
    </row>
    <row r="149" spans="1:8" x14ac:dyDescent="0.2">
      <c r="A149" s="48" t="s">
        <v>4</v>
      </c>
      <c r="B149" s="49">
        <v>7.8800000000000008E-6</v>
      </c>
      <c r="C149" s="68" t="s">
        <v>100</v>
      </c>
      <c r="D149" s="51" t="s">
        <v>101</v>
      </c>
      <c r="E149" s="56" t="e">
        <f>B149*#REF!*#REF!/1000000/2000</f>
        <v>#REF!</v>
      </c>
    </row>
    <row r="150" spans="1:8" x14ac:dyDescent="0.2">
      <c r="A150" s="48" t="s">
        <v>103</v>
      </c>
      <c r="B150" s="49">
        <v>1.2999999999999999E-4</v>
      </c>
      <c r="C150" s="68" t="s">
        <v>100</v>
      </c>
      <c r="D150" s="51" t="s">
        <v>101</v>
      </c>
      <c r="E150" s="55" t="e">
        <f>B150*#REF!*#REF!/1000000/2000</f>
        <v>#REF!</v>
      </c>
    </row>
    <row r="151" spans="1:8" x14ac:dyDescent="0.2">
      <c r="A151" s="48" t="s">
        <v>104</v>
      </c>
      <c r="B151" s="49">
        <v>2.12E-4</v>
      </c>
      <c r="C151" s="68" t="s">
        <v>100</v>
      </c>
      <c r="D151" s="51" t="s">
        <v>101</v>
      </c>
      <c r="E151" s="55" t="e">
        <f>B151*#REF!*#REF!/1000000/2000</f>
        <v>#REF!</v>
      </c>
    </row>
    <row r="152" spans="1:8" x14ac:dyDescent="0.2">
      <c r="A152" s="48" t="s">
        <v>105</v>
      </c>
      <c r="B152" s="49"/>
      <c r="C152" s="68"/>
      <c r="D152" s="48"/>
      <c r="E152" s="54" t="e">
        <f>SUM(E144:E151)</f>
        <v>#REF!</v>
      </c>
    </row>
    <row r="153" spans="1:8" x14ac:dyDescent="0.2">
      <c r="B153" s="57"/>
      <c r="C153" s="3"/>
      <c r="E153" s="24"/>
    </row>
    <row r="154" spans="1:8" x14ac:dyDescent="0.2">
      <c r="A154" t="s">
        <v>106</v>
      </c>
      <c r="B154" s="57"/>
      <c r="C154" s="3"/>
      <c r="E154" s="24"/>
    </row>
    <row r="155" spans="1:8" x14ac:dyDescent="0.2">
      <c r="A155" t="s">
        <v>107</v>
      </c>
      <c r="B155" s="57"/>
      <c r="C155" s="3"/>
      <c r="E155" s="24"/>
    </row>
    <row r="156" spans="1:8" x14ac:dyDescent="0.2">
      <c r="A156" t="s">
        <v>108</v>
      </c>
      <c r="B156" s="57"/>
      <c r="C156" s="3"/>
      <c r="E156" s="24"/>
    </row>
    <row r="157" spans="1:8" x14ac:dyDescent="0.2">
      <c r="A157" t="s">
        <v>109</v>
      </c>
      <c r="B157" s="57"/>
      <c r="C157" s="3"/>
      <c r="E157" s="24"/>
    </row>
    <row r="158" spans="1:8" x14ac:dyDescent="0.2">
      <c r="A158" t="s">
        <v>110</v>
      </c>
      <c r="B158" s="57"/>
      <c r="C158" s="3"/>
      <c r="E158" s="24"/>
    </row>
    <row r="160" spans="1:8" x14ac:dyDescent="0.2">
      <c r="A160" s="58" t="s">
        <v>111</v>
      </c>
    </row>
    <row r="162" spans="1:7" x14ac:dyDescent="0.2">
      <c r="A162" s="68" t="s">
        <v>78</v>
      </c>
      <c r="B162" s="68" t="s">
        <v>79</v>
      </c>
      <c r="C162" s="68" t="s">
        <v>80</v>
      </c>
      <c r="D162" s="68" t="s">
        <v>81</v>
      </c>
      <c r="E162" s="68" t="s">
        <v>82</v>
      </c>
      <c r="F162" s="59" t="s">
        <v>112</v>
      </c>
      <c r="G162" s="68" t="s">
        <v>113</v>
      </c>
    </row>
    <row r="163" spans="1:7" x14ac:dyDescent="0.2">
      <c r="A163" s="270" t="s">
        <v>62</v>
      </c>
      <c r="B163" s="284"/>
      <c r="C163" s="284"/>
      <c r="D163" s="284"/>
      <c r="E163" s="284"/>
      <c r="F163" s="284"/>
      <c r="G163" s="271"/>
    </row>
    <row r="164" spans="1:7" x14ac:dyDescent="0.2">
      <c r="A164" s="60" t="e">
        <f>#REF!</f>
        <v>#REF!</v>
      </c>
      <c r="B164" s="60" t="e">
        <f>#REF!</f>
        <v>#REF!</v>
      </c>
      <c r="C164" s="60" t="e">
        <f>#REF!</f>
        <v>#REF!</v>
      </c>
      <c r="D164" s="61" t="e">
        <f>#REF!</f>
        <v>#REF!</v>
      </c>
      <c r="E164" s="61" t="e">
        <f>#REF!</f>
        <v>#REF!</v>
      </c>
      <c r="F164" s="60" t="e">
        <f>SUM(E140:E142)</f>
        <v>#REF!</v>
      </c>
      <c r="G164" s="54" t="e">
        <f>E152</f>
        <v>#REF!</v>
      </c>
    </row>
    <row r="168" spans="1:7" ht="24" x14ac:dyDescent="0.3">
      <c r="A168" s="62"/>
      <c r="C168" s="12"/>
      <c r="D168" s="12"/>
      <c r="E168" s="12"/>
      <c r="F168" s="13"/>
    </row>
    <row r="169" spans="1:7" ht="24" x14ac:dyDescent="0.3">
      <c r="A169" s="62"/>
      <c r="C169" s="12"/>
      <c r="D169" s="12"/>
      <c r="E169" s="12"/>
      <c r="F169" s="13"/>
    </row>
    <row r="170" spans="1:7" ht="24" x14ac:dyDescent="0.3">
      <c r="A170" s="62"/>
      <c r="C170" s="12"/>
      <c r="D170" s="12"/>
      <c r="E170" s="12"/>
      <c r="F170" s="13"/>
    </row>
    <row r="171" spans="1:7" ht="24" x14ac:dyDescent="0.3">
      <c r="A171" s="62"/>
      <c r="C171" s="12"/>
      <c r="D171" s="12"/>
      <c r="E171" s="12"/>
      <c r="F171" s="13"/>
    </row>
    <row r="172" spans="1:7" ht="24" x14ac:dyDescent="0.3">
      <c r="A172" s="62"/>
      <c r="C172" s="12"/>
      <c r="D172" s="12"/>
      <c r="E172" s="12"/>
      <c r="F172" s="13"/>
    </row>
    <row r="173" spans="1:7" ht="24" x14ac:dyDescent="0.3">
      <c r="A173" s="62"/>
      <c r="C173" s="12"/>
      <c r="D173" s="12"/>
      <c r="E173" s="12"/>
      <c r="F173" s="13"/>
    </row>
    <row r="174" spans="1:7" ht="24" x14ac:dyDescent="0.3">
      <c r="A174" s="62"/>
      <c r="C174" s="12"/>
      <c r="D174" s="12"/>
      <c r="E174" s="12"/>
      <c r="F174" s="13"/>
    </row>
    <row r="175" spans="1:7" ht="24" x14ac:dyDescent="0.3">
      <c r="A175" s="62"/>
      <c r="B175" s="11"/>
      <c r="C175" s="12"/>
      <c r="D175" s="12"/>
      <c r="E175" s="12"/>
      <c r="F175" s="13"/>
    </row>
    <row r="177" spans="1:6" x14ac:dyDescent="0.2">
      <c r="A177" s="58"/>
    </row>
    <row r="178" spans="1:6" x14ac:dyDescent="0.2">
      <c r="A178" s="58"/>
    </row>
    <row r="179" spans="1:6" x14ac:dyDescent="0.2">
      <c r="A179" t="s">
        <v>114</v>
      </c>
      <c r="B179" s="22">
        <v>624500</v>
      </c>
      <c r="C179" t="s">
        <v>115</v>
      </c>
    </row>
    <row r="180" spans="1:6" x14ac:dyDescent="0.2">
      <c r="A180" t="s">
        <v>116</v>
      </c>
      <c r="B180" s="22">
        <v>138000</v>
      </c>
      <c r="C180" t="s">
        <v>117</v>
      </c>
    </row>
    <row r="182" spans="1:6" ht="20" customHeight="1" x14ac:dyDescent="0.2">
      <c r="A182" s="285" t="s">
        <v>76</v>
      </c>
      <c r="B182" s="286" t="s">
        <v>118</v>
      </c>
      <c r="C182" s="286"/>
      <c r="D182" s="286"/>
      <c r="E182" s="287" t="s">
        <v>119</v>
      </c>
    </row>
    <row r="183" spans="1:6" ht="31" customHeight="1" x14ac:dyDescent="0.2">
      <c r="A183" s="285"/>
      <c r="B183" s="68" t="s">
        <v>120</v>
      </c>
      <c r="C183" s="68" t="s">
        <v>121</v>
      </c>
      <c r="D183" s="68" t="s">
        <v>0</v>
      </c>
      <c r="E183" s="288"/>
    </row>
    <row r="184" spans="1:6" ht="17" customHeight="1" x14ac:dyDescent="0.2">
      <c r="A184" s="278" t="s">
        <v>122</v>
      </c>
      <c r="B184" s="279"/>
      <c r="C184" s="279"/>
      <c r="D184" s="279"/>
      <c r="E184" s="280"/>
    </row>
    <row r="185" spans="1:6" x14ac:dyDescent="0.2">
      <c r="A185" s="48" t="s">
        <v>78</v>
      </c>
      <c r="B185" s="49" t="e">
        <f>#REF!</f>
        <v>#REF!</v>
      </c>
      <c r="C185" s="68" t="s">
        <v>123</v>
      </c>
      <c r="D185" s="51" t="s">
        <v>124</v>
      </c>
      <c r="E185" s="52" t="e">
        <f>B185*$B$179/2000</f>
        <v>#REF!</v>
      </c>
    </row>
    <row r="186" spans="1:6" x14ac:dyDescent="0.2">
      <c r="A186" s="48" t="s">
        <v>79</v>
      </c>
      <c r="B186" s="49" t="e">
        <f>#REF!</f>
        <v>#REF!</v>
      </c>
      <c r="C186" s="68" t="s">
        <v>123</v>
      </c>
      <c r="D186" s="51" t="s">
        <v>124</v>
      </c>
      <c r="E186" s="52" t="e">
        <f>B186*$B$179/2000</f>
        <v>#REF!</v>
      </c>
    </row>
    <row r="187" spans="1:6" x14ac:dyDescent="0.2">
      <c r="A187" s="48" t="s">
        <v>80</v>
      </c>
      <c r="B187" s="49" t="e">
        <f>#REF!</f>
        <v>#REF!</v>
      </c>
      <c r="C187" s="68" t="s">
        <v>123</v>
      </c>
      <c r="D187" s="51" t="s">
        <v>124</v>
      </c>
      <c r="E187" s="53" t="e">
        <f>B187*$B$179/2000</f>
        <v>#REF!</v>
      </c>
    </row>
    <row r="188" spans="1:6" x14ac:dyDescent="0.2">
      <c r="A188" s="48" t="s">
        <v>81</v>
      </c>
      <c r="B188" s="49" t="e">
        <f>#REF!</f>
        <v>#REF!</v>
      </c>
      <c r="C188" s="68" t="s">
        <v>123</v>
      </c>
      <c r="D188" s="51" t="s">
        <v>124</v>
      </c>
      <c r="E188" s="53" t="e">
        <f>B188*$B$179/2000</f>
        <v>#REF!</v>
      </c>
    </row>
    <row r="189" spans="1:6" x14ac:dyDescent="0.2">
      <c r="A189" s="48" t="s">
        <v>82</v>
      </c>
      <c r="B189" s="49" t="e">
        <f>#REF!</f>
        <v>#REF!</v>
      </c>
      <c r="C189" s="68" t="s">
        <v>123</v>
      </c>
      <c r="D189" s="51" t="s">
        <v>124</v>
      </c>
      <c r="E189" s="53" t="e">
        <f>B189*$B$179/2000</f>
        <v>#REF!</v>
      </c>
    </row>
    <row r="190" spans="1:6" x14ac:dyDescent="0.2">
      <c r="A190" s="48" t="s">
        <v>125</v>
      </c>
      <c r="B190" s="49">
        <v>8.3000000000000001E-3</v>
      </c>
      <c r="C190" s="68" t="s">
        <v>126</v>
      </c>
      <c r="D190" s="51" t="s">
        <v>127</v>
      </c>
      <c r="E190" s="55">
        <f>B190*B179/1000/2000</f>
        <v>2.5916750000000003E-3</v>
      </c>
    </row>
    <row r="191" spans="1:6" x14ac:dyDescent="0.2">
      <c r="A191" s="281" t="s">
        <v>91</v>
      </c>
      <c r="B191" s="282"/>
      <c r="C191" s="282"/>
      <c r="D191" s="282"/>
      <c r="E191" s="283"/>
    </row>
    <row r="192" spans="1:6" x14ac:dyDescent="0.2">
      <c r="A192" s="48" t="s">
        <v>92</v>
      </c>
      <c r="B192" s="49">
        <v>1.04E-5</v>
      </c>
      <c r="C192" s="68" t="s">
        <v>93</v>
      </c>
      <c r="D192" s="51" t="s">
        <v>94</v>
      </c>
      <c r="E192" s="52">
        <f>B192*$B$179</f>
        <v>6.4948000000000006</v>
      </c>
      <c r="F192" t="s">
        <v>95</v>
      </c>
    </row>
    <row r="193" spans="1:6" x14ac:dyDescent="0.2">
      <c r="A193" s="48" t="s">
        <v>96</v>
      </c>
      <c r="B193" s="49">
        <v>1.0206E-2</v>
      </c>
      <c r="C193" s="68" t="s">
        <v>93</v>
      </c>
      <c r="D193" s="51" t="s">
        <v>94</v>
      </c>
      <c r="E193" s="65">
        <f>B193*$B$179</f>
        <v>6373.6469999999999</v>
      </c>
      <c r="F193" t="s">
        <v>95</v>
      </c>
    </row>
    <row r="194" spans="1:6" x14ac:dyDescent="0.2">
      <c r="A194" s="48" t="s">
        <v>97</v>
      </c>
      <c r="B194" s="49">
        <v>2.4700000000000001E-5</v>
      </c>
      <c r="C194" s="68" t="s">
        <v>93</v>
      </c>
      <c r="D194" s="51" t="s">
        <v>94</v>
      </c>
      <c r="E194" s="52">
        <f>B194*$B$179</f>
        <v>15.42515</v>
      </c>
      <c r="F194" t="s">
        <v>95</v>
      </c>
    </row>
    <row r="195" spans="1:6" x14ac:dyDescent="0.2">
      <c r="A195" s="281" t="s">
        <v>98</v>
      </c>
      <c r="B195" s="282"/>
      <c r="C195" s="282"/>
      <c r="D195" s="282"/>
      <c r="E195" s="283"/>
    </row>
    <row r="196" spans="1:6" x14ac:dyDescent="0.2">
      <c r="A196" s="48" t="s">
        <v>13</v>
      </c>
      <c r="B196" s="49">
        <v>7.76E-4</v>
      </c>
      <c r="C196" s="68" t="s">
        <v>100</v>
      </c>
      <c r="D196" s="51" t="s">
        <v>101</v>
      </c>
      <c r="E196" s="54">
        <f t="shared" ref="E196:E203" si="3">B196*$B$179*$B$180/1000000/2000</f>
        <v>3.3438228E-2</v>
      </c>
    </row>
    <row r="197" spans="1:6" x14ac:dyDescent="0.2">
      <c r="A197" s="48" t="s">
        <v>54</v>
      </c>
      <c r="B197" s="49">
        <v>2.81E-4</v>
      </c>
      <c r="C197" s="68" t="s">
        <v>100</v>
      </c>
      <c r="D197" s="51" t="s">
        <v>101</v>
      </c>
      <c r="E197" s="55">
        <f t="shared" si="3"/>
        <v>1.2108430500000001E-2</v>
      </c>
    </row>
    <row r="198" spans="1:6" x14ac:dyDescent="0.2">
      <c r="A198" s="48" t="s">
        <v>102</v>
      </c>
      <c r="B198" s="49">
        <v>1.93E-4</v>
      </c>
      <c r="C198" s="68" t="s">
        <v>100</v>
      </c>
      <c r="D198" s="51" t="s">
        <v>101</v>
      </c>
      <c r="E198" s="55">
        <f t="shared" si="3"/>
        <v>8.3164665000000013E-3</v>
      </c>
    </row>
    <row r="199" spans="1:6" x14ac:dyDescent="0.2">
      <c r="A199" s="48" t="s">
        <v>30</v>
      </c>
      <c r="B199" s="49">
        <v>7.8899999999999993E-5</v>
      </c>
      <c r="C199" s="68" t="s">
        <v>100</v>
      </c>
      <c r="D199" s="51" t="s">
        <v>101</v>
      </c>
      <c r="E199" s="55">
        <f t="shared" si="3"/>
        <v>3.3998404499999998E-3</v>
      </c>
    </row>
    <row r="200" spans="1:6" x14ac:dyDescent="0.2">
      <c r="A200" s="48" t="s">
        <v>2</v>
      </c>
      <c r="B200" s="49">
        <v>2.5199999999999999E-5</v>
      </c>
      <c r="C200" s="68" t="s">
        <v>100</v>
      </c>
      <c r="D200" s="51" t="s">
        <v>101</v>
      </c>
      <c r="E200" s="56">
        <f t="shared" si="3"/>
        <v>1.0858805999999998E-3</v>
      </c>
    </row>
    <row r="201" spans="1:6" x14ac:dyDescent="0.2">
      <c r="A201" s="48" t="s">
        <v>4</v>
      </c>
      <c r="B201" s="49">
        <v>7.8800000000000008E-6</v>
      </c>
      <c r="C201" s="68" t="s">
        <v>100</v>
      </c>
      <c r="D201" s="51" t="s">
        <v>101</v>
      </c>
      <c r="E201" s="56">
        <f t="shared" si="3"/>
        <v>3.3955314000000007E-4</v>
      </c>
    </row>
    <row r="202" spans="1:6" x14ac:dyDescent="0.2">
      <c r="A202" s="48" t="s">
        <v>103</v>
      </c>
      <c r="B202" s="49">
        <v>1.2999999999999999E-4</v>
      </c>
      <c r="C202" s="68" t="s">
        <v>100</v>
      </c>
      <c r="D202" s="51" t="s">
        <v>101</v>
      </c>
      <c r="E202" s="55">
        <f t="shared" si="3"/>
        <v>5.6017649999999999E-3</v>
      </c>
    </row>
    <row r="203" spans="1:6" x14ac:dyDescent="0.2">
      <c r="A203" s="48" t="s">
        <v>104</v>
      </c>
      <c r="B203" s="49">
        <v>2.12E-4</v>
      </c>
      <c r="C203" s="68" t="s">
        <v>100</v>
      </c>
      <c r="D203" s="51" t="s">
        <v>101</v>
      </c>
      <c r="E203" s="55">
        <f t="shared" si="3"/>
        <v>9.135186E-3</v>
      </c>
    </row>
    <row r="204" spans="1:6" x14ac:dyDescent="0.2">
      <c r="A204" s="48" t="s">
        <v>105</v>
      </c>
      <c r="B204" s="49"/>
      <c r="C204" s="68"/>
      <c r="D204" s="48"/>
      <c r="E204" s="54">
        <f>SUM(E196:E203)</f>
        <v>7.3425350190000002E-2</v>
      </c>
    </row>
    <row r="205" spans="1:6" x14ac:dyDescent="0.2">
      <c r="B205" s="57"/>
      <c r="C205" s="3"/>
      <c r="E205" s="24"/>
    </row>
    <row r="206" spans="1:6" x14ac:dyDescent="0.2">
      <c r="A206" t="s">
        <v>106</v>
      </c>
      <c r="B206" s="57"/>
      <c r="C206" s="3"/>
      <c r="E206" s="24"/>
    </row>
    <row r="207" spans="1:6" x14ac:dyDescent="0.2">
      <c r="A207" t="s">
        <v>107</v>
      </c>
      <c r="B207" s="57"/>
      <c r="C207" s="3"/>
      <c r="E207" s="24"/>
    </row>
    <row r="208" spans="1:6" x14ac:dyDescent="0.2">
      <c r="A208" t="s">
        <v>108</v>
      </c>
      <c r="B208" s="57"/>
      <c r="C208" s="3"/>
      <c r="E208" s="24"/>
    </row>
    <row r="209" spans="1:7" x14ac:dyDescent="0.2">
      <c r="A209" t="s">
        <v>109</v>
      </c>
      <c r="B209" s="57"/>
      <c r="C209" s="3"/>
      <c r="E209" s="24"/>
    </row>
    <row r="210" spans="1:7" x14ac:dyDescent="0.2">
      <c r="B210" s="57"/>
      <c r="C210" s="3"/>
      <c r="E210" s="24"/>
    </row>
    <row r="212" spans="1:7" x14ac:dyDescent="0.2">
      <c r="A212" s="58" t="s">
        <v>128</v>
      </c>
    </row>
    <row r="214" spans="1:7" x14ac:dyDescent="0.2">
      <c r="A214" s="68" t="s">
        <v>78</v>
      </c>
      <c r="B214" s="68" t="s">
        <v>79</v>
      </c>
      <c r="C214" s="68" t="s">
        <v>80</v>
      </c>
      <c r="D214" s="68" t="s">
        <v>81</v>
      </c>
      <c r="E214" s="68" t="s">
        <v>82</v>
      </c>
      <c r="F214" s="59" t="s">
        <v>112</v>
      </c>
      <c r="G214" s="68" t="s">
        <v>113</v>
      </c>
    </row>
    <row r="215" spans="1:7" x14ac:dyDescent="0.2">
      <c r="A215" s="270" t="s">
        <v>62</v>
      </c>
      <c r="B215" s="284"/>
      <c r="C215" s="284"/>
      <c r="D215" s="284"/>
      <c r="E215" s="284"/>
      <c r="F215" s="284"/>
      <c r="G215" s="271"/>
    </row>
    <row r="216" spans="1:7" x14ac:dyDescent="0.2">
      <c r="A216" s="60" t="e">
        <f>E185</f>
        <v>#REF!</v>
      </c>
      <c r="B216" s="60" t="e">
        <f>E186</f>
        <v>#REF!</v>
      </c>
      <c r="C216" s="60" t="e">
        <f>E187</f>
        <v>#REF!</v>
      </c>
      <c r="D216" s="61" t="e">
        <f>E188</f>
        <v>#REF!</v>
      </c>
      <c r="E216" s="61" t="e">
        <f>E189</f>
        <v>#REF!</v>
      </c>
      <c r="F216" s="60">
        <f>SUM(E192:E194)</f>
        <v>6395.5669500000004</v>
      </c>
      <c r="G216" s="54">
        <f>E204</f>
        <v>7.3425350190000002E-2</v>
      </c>
    </row>
  </sheetData>
  <mergeCells count="14">
    <mergeCell ref="A143:E143"/>
    <mergeCell ref="A21:C21"/>
    <mergeCell ref="A30:C30"/>
    <mergeCell ref="A36:E36"/>
    <mergeCell ref="F36:G36"/>
    <mergeCell ref="A139:E139"/>
    <mergeCell ref="A195:E195"/>
    <mergeCell ref="A215:G215"/>
    <mergeCell ref="A163:G163"/>
    <mergeCell ref="A182:A183"/>
    <mergeCell ref="B182:D182"/>
    <mergeCell ref="E182:E183"/>
    <mergeCell ref="A184:E184"/>
    <mergeCell ref="A191:E191"/>
  </mergeCells>
  <pageMargins left="0.7" right="0.7" top="0.75" bottom="0.75" header="0.3" footer="0.3"/>
  <pageSetup scale="99" fitToHeight="2" orientation="portrait" horizontalDpi="0" verticalDpi="0"/>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DCB28-EB15-DA49-8A3E-7445F726FC8D}">
  <sheetPr>
    <tabColor rgb="FF008000"/>
    <pageSetUpPr fitToPage="1"/>
  </sheetPr>
  <dimension ref="A1:R216"/>
  <sheetViews>
    <sheetView topLeftCell="A33" zoomScale="84" zoomScaleNormal="84" workbookViewId="0">
      <selection activeCell="D38" sqref="D38:D64"/>
    </sheetView>
  </sheetViews>
  <sheetFormatPr baseColWidth="10" defaultColWidth="11" defaultRowHeight="16" x14ac:dyDescent="0.2"/>
  <cols>
    <col min="1" max="1" width="33.5" customWidth="1"/>
    <col min="2" max="2" width="15.83203125" customWidth="1"/>
    <col min="3" max="3" width="15.33203125" customWidth="1"/>
    <col min="4" max="11" width="9.6640625" customWidth="1"/>
    <col min="15" max="15" width="12.6640625" customWidth="1"/>
    <col min="16" max="16" width="14" customWidth="1"/>
  </cols>
  <sheetData>
    <row r="1" spans="1:12" ht="21" x14ac:dyDescent="0.25">
      <c r="A1" s="10"/>
      <c r="B1" s="11"/>
      <c r="C1" s="12"/>
      <c r="D1" s="12"/>
      <c r="E1" s="12"/>
      <c r="F1" s="13"/>
    </row>
    <row r="3" spans="1:12" x14ac:dyDescent="0.2">
      <c r="A3" s="14"/>
    </row>
    <row r="4" spans="1:12" ht="18" x14ac:dyDescent="0.2">
      <c r="A4" s="15" t="s">
        <v>296</v>
      </c>
    </row>
    <row r="6" spans="1:12" s="20" customFormat="1" x14ac:dyDescent="0.2">
      <c r="A6" s="18" t="s">
        <v>288</v>
      </c>
      <c r="B6" s="17">
        <v>27</v>
      </c>
      <c r="C6" s="18"/>
      <c r="D6" s="19"/>
      <c r="F6"/>
      <c r="G6"/>
      <c r="H6"/>
      <c r="I6"/>
      <c r="J6"/>
      <c r="K6"/>
      <c r="L6"/>
    </row>
    <row r="7" spans="1:12" s="20" customFormat="1" x14ac:dyDescent="0.2">
      <c r="A7" s="18" t="s">
        <v>63</v>
      </c>
      <c r="B7" s="21">
        <v>0.2</v>
      </c>
      <c r="C7" s="18" t="s">
        <v>64</v>
      </c>
      <c r="D7" s="19"/>
      <c r="F7"/>
      <c r="G7"/>
      <c r="H7"/>
      <c r="I7"/>
      <c r="J7"/>
      <c r="K7"/>
      <c r="L7"/>
    </row>
    <row r="8" spans="1:12" x14ac:dyDescent="0.2">
      <c r="A8" s="18" t="s">
        <v>65</v>
      </c>
      <c r="B8" s="22">
        <v>1020</v>
      </c>
      <c r="C8" t="s">
        <v>66</v>
      </c>
    </row>
    <row r="9" spans="1:12" x14ac:dyDescent="0.2">
      <c r="A9" s="18" t="s">
        <v>67</v>
      </c>
      <c r="B9" s="22">
        <v>24</v>
      </c>
    </row>
    <row r="10" spans="1:12" x14ac:dyDescent="0.2">
      <c r="A10" s="18" t="s">
        <v>68</v>
      </c>
      <c r="B10" s="17">
        <v>8760</v>
      </c>
    </row>
    <row r="11" spans="1:12" x14ac:dyDescent="0.2">
      <c r="A11" s="18" t="s">
        <v>130</v>
      </c>
      <c r="B11" s="23">
        <v>1</v>
      </c>
      <c r="I11" s="66" t="s">
        <v>138</v>
      </c>
    </row>
    <row r="12" spans="1:12" ht="15.75" customHeight="1" x14ac:dyDescent="0.2">
      <c r="A12" s="18" t="s">
        <v>69</v>
      </c>
      <c r="B12" s="24">
        <f>B6*B7*B10*B11</f>
        <v>47304</v>
      </c>
      <c r="C12" t="s">
        <v>70</v>
      </c>
      <c r="D12" s="25"/>
    </row>
    <row r="13" spans="1:12" ht="15.75" customHeight="1" x14ac:dyDescent="0.2">
      <c r="A13" s="18" t="s">
        <v>69</v>
      </c>
      <c r="B13" s="24">
        <f>B12/B8</f>
        <v>46.376470588235293</v>
      </c>
      <c r="C13" t="s">
        <v>71</v>
      </c>
      <c r="D13" s="25"/>
    </row>
    <row r="14" spans="1:12" x14ac:dyDescent="0.2">
      <c r="A14" s="18"/>
      <c r="B14" s="22"/>
    </row>
    <row r="15" spans="1:12" ht="15.75" customHeight="1" x14ac:dyDescent="0.2">
      <c r="A15" s="18"/>
      <c r="B15" s="24"/>
      <c r="D15" s="25"/>
    </row>
    <row r="16" spans="1:12" s="20" customFormat="1" x14ac:dyDescent="0.2">
      <c r="A16" s="16" t="s">
        <v>129</v>
      </c>
      <c r="B16" s="17"/>
      <c r="C16" s="18"/>
      <c r="D16" s="19"/>
    </row>
    <row r="17" spans="1:4" ht="15.75" customHeight="1" x14ac:dyDescent="0.2">
      <c r="A17" s="18" t="s">
        <v>72</v>
      </c>
      <c r="B17" s="24">
        <f>B12</f>
        <v>47304</v>
      </c>
      <c r="C17" t="s">
        <v>70</v>
      </c>
      <c r="D17" s="25"/>
    </row>
    <row r="18" spans="1:4" ht="15.75" customHeight="1" x14ac:dyDescent="0.2">
      <c r="A18" s="18" t="s">
        <v>72</v>
      </c>
      <c r="B18" s="24">
        <f>B13</f>
        <v>46.376470588235293</v>
      </c>
      <c r="C18" t="s">
        <v>71</v>
      </c>
      <c r="D18" s="25"/>
    </row>
    <row r="19" spans="1:4" ht="15.75" customHeight="1" x14ac:dyDescent="0.2">
      <c r="A19" s="18" t="s">
        <v>73</v>
      </c>
      <c r="B19" s="27">
        <f>B6*B7/B8*B9</f>
        <v>0.12705882352941178</v>
      </c>
      <c r="C19" t="s">
        <v>74</v>
      </c>
      <c r="D19" s="25"/>
    </row>
    <row r="20" spans="1:4" ht="15.75" customHeight="1" x14ac:dyDescent="0.2">
      <c r="A20" s="18"/>
      <c r="B20" s="24"/>
      <c r="D20" s="28"/>
    </row>
    <row r="21" spans="1:4" ht="18" customHeight="1" x14ac:dyDescent="0.2">
      <c r="A21" s="272" t="s">
        <v>75</v>
      </c>
      <c r="B21" s="272"/>
      <c r="C21" s="272"/>
    </row>
    <row r="22" spans="1:4" ht="47" customHeight="1" x14ac:dyDescent="0.2">
      <c r="A22" s="29" t="s">
        <v>76</v>
      </c>
      <c r="B22" s="30" t="s">
        <v>77</v>
      </c>
      <c r="C22" s="29" t="s">
        <v>131</v>
      </c>
    </row>
    <row r="23" spans="1:4" ht="15.75" customHeight="1" x14ac:dyDescent="0.2">
      <c r="A23" s="31" t="s">
        <v>78</v>
      </c>
      <c r="B23" s="31">
        <v>100</v>
      </c>
      <c r="C23" s="32">
        <f>B23*$B$18/2000</f>
        <v>2.3188235294117647</v>
      </c>
    </row>
    <row r="24" spans="1:4" ht="15.75" customHeight="1" x14ac:dyDescent="0.2">
      <c r="A24" s="31" t="s">
        <v>79</v>
      </c>
      <c r="B24" s="31">
        <v>84</v>
      </c>
      <c r="C24" s="32">
        <f>B24*$B$18/2000</f>
        <v>1.9478117647058824</v>
      </c>
    </row>
    <row r="25" spans="1:4" ht="15.75" customHeight="1" x14ac:dyDescent="0.2">
      <c r="A25" s="31" t="s">
        <v>80</v>
      </c>
      <c r="B25" s="31">
        <v>5.5</v>
      </c>
      <c r="C25" s="33">
        <f>B25*$B$18/2000</f>
        <v>0.12753529411764705</v>
      </c>
    </row>
    <row r="26" spans="1:4" ht="15.75" customHeight="1" x14ac:dyDescent="0.2">
      <c r="A26" s="31" t="s">
        <v>81</v>
      </c>
      <c r="B26" s="31">
        <v>2.5</v>
      </c>
      <c r="C26" s="34">
        <f>B26*$B$18/2000</f>
        <v>5.7970588235294114E-2</v>
      </c>
    </row>
    <row r="27" spans="1:4" x14ac:dyDescent="0.2">
      <c r="A27" s="31" t="s">
        <v>82</v>
      </c>
      <c r="B27" s="31">
        <v>2.6</v>
      </c>
      <c r="C27" s="33">
        <f>B27*$B$18/2000</f>
        <v>6.0289411764705883E-2</v>
      </c>
    </row>
    <row r="28" spans="1:4" x14ac:dyDescent="0.2">
      <c r="A28" s="35" t="s">
        <v>83</v>
      </c>
      <c r="B28" s="36"/>
      <c r="C28" s="37"/>
    </row>
    <row r="29" spans="1:4" x14ac:dyDescent="0.2">
      <c r="A29" s="38"/>
      <c r="B29" s="38"/>
      <c r="C29" s="39"/>
    </row>
    <row r="30" spans="1:4" ht="18" customHeight="1" x14ac:dyDescent="0.2">
      <c r="A30" s="272" t="s">
        <v>84</v>
      </c>
      <c r="B30" s="272"/>
      <c r="C30" s="272"/>
    </row>
    <row r="31" spans="1:4" ht="49" customHeight="1" x14ac:dyDescent="0.2">
      <c r="A31" s="29" t="s">
        <v>76</v>
      </c>
      <c r="B31" s="30" t="s">
        <v>85</v>
      </c>
      <c r="C31" s="29" t="s">
        <v>131</v>
      </c>
    </row>
    <row r="32" spans="1:4" x14ac:dyDescent="0.2">
      <c r="A32" s="31" t="s">
        <v>86</v>
      </c>
      <c r="B32" s="31">
        <v>53.114800000000002</v>
      </c>
      <c r="C32" s="33">
        <f>(B32*B17/1000)*1.10231</f>
        <v>2769.6007222931516</v>
      </c>
    </row>
    <row r="33" spans="1:18" x14ac:dyDescent="0.2">
      <c r="A33" s="35" t="s">
        <v>87</v>
      </c>
      <c r="B33" s="36"/>
      <c r="C33" s="37"/>
    </row>
    <row r="34" spans="1:18" x14ac:dyDescent="0.2">
      <c r="C34" s="26"/>
    </row>
    <row r="35" spans="1:18" x14ac:dyDescent="0.2">
      <c r="C35" s="26"/>
    </row>
    <row r="36" spans="1:18" ht="18" customHeight="1" x14ac:dyDescent="0.2">
      <c r="A36" s="273" t="s">
        <v>88</v>
      </c>
      <c r="B36" s="274"/>
      <c r="C36" s="274"/>
      <c r="D36" s="274"/>
      <c r="E36" s="275"/>
      <c r="F36" s="276" t="s">
        <v>132</v>
      </c>
      <c r="G36" s="277"/>
      <c r="I36" t="s">
        <v>259</v>
      </c>
      <c r="L36" t="s">
        <v>260</v>
      </c>
      <c r="O36" t="s">
        <v>261</v>
      </c>
    </row>
    <row r="37" spans="1:18" ht="52" customHeight="1" x14ac:dyDescent="0.2">
      <c r="A37" s="40" t="s">
        <v>76</v>
      </c>
      <c r="B37" s="40" t="s">
        <v>89</v>
      </c>
      <c r="C37" s="41" t="s">
        <v>77</v>
      </c>
      <c r="D37" s="64" t="s">
        <v>133</v>
      </c>
      <c r="E37" s="64" t="s">
        <v>134</v>
      </c>
      <c r="F37" s="64" t="s">
        <v>133</v>
      </c>
      <c r="G37" s="64" t="s">
        <v>134</v>
      </c>
      <c r="J37" s="157" t="s">
        <v>134</v>
      </c>
      <c r="K37" s="157" t="s">
        <v>133</v>
      </c>
      <c r="M37" s="157" t="s">
        <v>134</v>
      </c>
      <c r="N37" s="157" t="s">
        <v>133</v>
      </c>
      <c r="P37" s="157" t="s">
        <v>134</v>
      </c>
      <c r="Q37" s="157" t="s">
        <v>133</v>
      </c>
      <c r="R37" s="157"/>
    </row>
    <row r="38" spans="1:18" x14ac:dyDescent="0.2">
      <c r="A38" s="31" t="s">
        <v>13</v>
      </c>
      <c r="B38" s="31" t="s">
        <v>12</v>
      </c>
      <c r="C38" s="31">
        <v>8.0000000000000002E-3</v>
      </c>
      <c r="D38" s="44">
        <f t="shared" ref="D38:D64" si="0">C38*$B$19</f>
        <v>1.0164705882352942E-3</v>
      </c>
      <c r="E38" s="34">
        <f t="shared" ref="E38:E64" si="1">C38*$B$18</f>
        <v>0.37101176470588237</v>
      </c>
      <c r="F38" s="45">
        <f t="shared" ref="F38:G64" si="2">D38/$B$6</f>
        <v>3.7647058823529415E-5</v>
      </c>
      <c r="G38" s="45">
        <f t="shared" si="2"/>
        <v>1.3741176470588236E-2</v>
      </c>
      <c r="J38" s="57">
        <f>G38*16</f>
        <v>0.21985882352941177</v>
      </c>
      <c r="K38" s="57">
        <f t="shared" ref="K38:K64" si="3">F38*16</f>
        <v>6.0235294117647064E-4</v>
      </c>
      <c r="M38" s="57">
        <f>G38*7</f>
        <v>9.6188235294117658E-2</v>
      </c>
      <c r="N38" s="57">
        <f t="shared" ref="N38:N64" si="4">F38*7</f>
        <v>2.6352941176470591E-4</v>
      </c>
      <c r="P38" s="57">
        <f>G38*2</f>
        <v>2.7482352941176472E-2</v>
      </c>
      <c r="Q38" s="57">
        <f t="shared" ref="Q38:Q64" si="5">F38*2</f>
        <v>7.529411764705883E-5</v>
      </c>
    </row>
    <row r="39" spans="1:18" x14ac:dyDescent="0.2">
      <c r="A39" s="31" t="s">
        <v>30</v>
      </c>
      <c r="B39" s="31" t="s">
        <v>29</v>
      </c>
      <c r="C39" s="31">
        <v>1.7000000000000001E-2</v>
      </c>
      <c r="D39" s="44">
        <f t="shared" si="0"/>
        <v>2.1600000000000005E-3</v>
      </c>
      <c r="E39" s="34">
        <f t="shared" si="1"/>
        <v>0.78839999999999999</v>
      </c>
      <c r="F39" s="45">
        <f t="shared" si="2"/>
        <v>8.000000000000002E-5</v>
      </c>
      <c r="G39" s="45">
        <f t="shared" si="2"/>
        <v>2.92E-2</v>
      </c>
      <c r="J39" s="57">
        <f t="shared" ref="J39:J51" si="6">G39*16</f>
        <v>0.4672</v>
      </c>
      <c r="K39" s="57">
        <f t="shared" si="3"/>
        <v>1.2800000000000003E-3</v>
      </c>
      <c r="M39" s="57">
        <f t="shared" ref="M39:M51" si="7">G39*7</f>
        <v>0.2044</v>
      </c>
      <c r="N39" s="57">
        <f t="shared" si="4"/>
        <v>5.6000000000000017E-4</v>
      </c>
      <c r="P39" s="57">
        <f t="shared" ref="P39:P51" si="8">G39*2</f>
        <v>5.8400000000000001E-2</v>
      </c>
      <c r="Q39" s="57">
        <f t="shared" si="5"/>
        <v>1.6000000000000004E-4</v>
      </c>
    </row>
    <row r="40" spans="1:18" x14ac:dyDescent="0.2">
      <c r="A40" s="31" t="s">
        <v>48</v>
      </c>
      <c r="B40" s="31">
        <v>401</v>
      </c>
      <c r="C40" s="31">
        <v>1E-4</v>
      </c>
      <c r="D40" s="44">
        <f t="shared" si="0"/>
        <v>1.2705882352941179E-5</v>
      </c>
      <c r="E40" s="34">
        <f t="shared" si="1"/>
        <v>4.6376470588235293E-3</v>
      </c>
      <c r="F40" s="45">
        <f t="shared" si="2"/>
        <v>4.7058823529411772E-7</v>
      </c>
      <c r="G40" s="45">
        <f t="shared" si="2"/>
        <v>1.7176470588235293E-4</v>
      </c>
      <c r="J40" s="57">
        <f t="shared" si="6"/>
        <v>2.7482352941176468E-3</v>
      </c>
      <c r="K40" s="57">
        <f t="shared" si="3"/>
        <v>7.5294117647058836E-6</v>
      </c>
      <c r="M40" s="57">
        <f t="shared" si="7"/>
        <v>1.2023529411764704E-3</v>
      </c>
      <c r="N40" s="57">
        <f t="shared" si="4"/>
        <v>3.294117647058824E-6</v>
      </c>
      <c r="P40" s="57">
        <f t="shared" si="8"/>
        <v>3.4352941176470585E-4</v>
      </c>
      <c r="Q40" s="57">
        <f t="shared" si="5"/>
        <v>9.4117647058823544E-7</v>
      </c>
    </row>
    <row r="41" spans="1:18" x14ac:dyDescent="0.2">
      <c r="A41" s="31" t="s">
        <v>15</v>
      </c>
      <c r="B41" s="31" t="s">
        <v>14</v>
      </c>
      <c r="C41" s="31">
        <v>1.1999999999999999E-6</v>
      </c>
      <c r="D41" s="44">
        <f t="shared" si="0"/>
        <v>1.5247058823529414E-7</v>
      </c>
      <c r="E41" s="34">
        <f t="shared" si="1"/>
        <v>5.565176470588235E-5</v>
      </c>
      <c r="F41" s="45">
        <f t="shared" si="2"/>
        <v>5.6470588235294128E-9</v>
      </c>
      <c r="G41" s="45">
        <f t="shared" si="2"/>
        <v>2.061176470588235E-6</v>
      </c>
      <c r="J41" s="57">
        <f t="shared" si="6"/>
        <v>3.297882352941176E-5</v>
      </c>
      <c r="K41" s="57">
        <f t="shared" si="3"/>
        <v>9.0352941176470606E-8</v>
      </c>
      <c r="M41" s="57">
        <f t="shared" si="7"/>
        <v>1.4428235294117645E-5</v>
      </c>
      <c r="N41" s="57">
        <f t="shared" si="4"/>
        <v>3.9529411764705889E-8</v>
      </c>
      <c r="P41" s="57">
        <f t="shared" si="8"/>
        <v>4.12235294117647E-6</v>
      </c>
      <c r="Q41" s="57">
        <f t="shared" si="5"/>
        <v>1.1294117647058826E-8</v>
      </c>
    </row>
    <row r="42" spans="1:18" x14ac:dyDescent="0.2">
      <c r="A42" s="31" t="s">
        <v>43</v>
      </c>
      <c r="B42" s="31" t="s">
        <v>42</v>
      </c>
      <c r="C42" s="31">
        <v>2.9999999999999997E-4</v>
      </c>
      <c r="D42" s="44">
        <f t="shared" si="0"/>
        <v>3.8117647058823529E-5</v>
      </c>
      <c r="E42" s="34">
        <f t="shared" si="1"/>
        <v>1.3912941176470586E-2</v>
      </c>
      <c r="F42" s="45">
        <f t="shared" si="2"/>
        <v>1.4117647058823529E-6</v>
      </c>
      <c r="G42" s="45">
        <f t="shared" si="2"/>
        <v>5.1529411764705878E-4</v>
      </c>
      <c r="J42" s="57">
        <f t="shared" si="6"/>
        <v>8.2447058823529405E-3</v>
      </c>
      <c r="K42" s="57">
        <f t="shared" si="3"/>
        <v>2.2588235294117646E-5</v>
      </c>
      <c r="M42" s="57">
        <f t="shared" si="7"/>
        <v>3.6070588235294116E-3</v>
      </c>
      <c r="N42" s="57">
        <f t="shared" si="4"/>
        <v>9.8823529411764707E-6</v>
      </c>
      <c r="P42" s="57">
        <f t="shared" si="8"/>
        <v>1.0305882352941176E-3</v>
      </c>
      <c r="Q42" s="57">
        <f t="shared" si="5"/>
        <v>2.8235294117647058E-6</v>
      </c>
    </row>
    <row r="43" spans="1:18" x14ac:dyDescent="0.2">
      <c r="A43" s="31" t="s">
        <v>2</v>
      </c>
      <c r="B43" s="31" t="s">
        <v>1</v>
      </c>
      <c r="C43" s="31">
        <v>4.3E-3</v>
      </c>
      <c r="D43" s="44">
        <f t="shared" si="0"/>
        <v>5.4635294117647069E-4</v>
      </c>
      <c r="E43" s="34">
        <f t="shared" si="1"/>
        <v>0.19941882352941176</v>
      </c>
      <c r="F43" s="45">
        <f t="shared" si="2"/>
        <v>2.0235294117647062E-5</v>
      </c>
      <c r="G43" s="45">
        <f t="shared" si="2"/>
        <v>7.3858823529411761E-3</v>
      </c>
      <c r="J43" s="57">
        <f t="shared" si="6"/>
        <v>0.11817411764705882</v>
      </c>
      <c r="K43" s="57">
        <f t="shared" si="3"/>
        <v>3.2376470588235299E-4</v>
      </c>
      <c r="M43" s="57">
        <f t="shared" si="7"/>
        <v>5.1701176470588237E-2</v>
      </c>
      <c r="N43" s="57">
        <f t="shared" si="4"/>
        <v>1.4164705882352944E-4</v>
      </c>
      <c r="P43" s="57">
        <f t="shared" si="8"/>
        <v>1.4771764705882352E-2</v>
      </c>
      <c r="Q43" s="57">
        <f t="shared" si="5"/>
        <v>4.0470588235294124E-5</v>
      </c>
    </row>
    <row r="44" spans="1:18" x14ac:dyDescent="0.2">
      <c r="A44" s="31" t="s">
        <v>4</v>
      </c>
      <c r="B44" s="31" t="s">
        <v>3</v>
      </c>
      <c r="C44" s="31">
        <v>2.7000000000000001E-3</v>
      </c>
      <c r="D44" s="44">
        <f t="shared" si="0"/>
        <v>3.430588235294118E-4</v>
      </c>
      <c r="E44" s="34">
        <f t="shared" si="1"/>
        <v>0.12521647058823529</v>
      </c>
      <c r="F44" s="45">
        <f t="shared" si="2"/>
        <v>1.2705882352941177E-5</v>
      </c>
      <c r="G44" s="45">
        <f t="shared" si="2"/>
        <v>4.6376470588235293E-3</v>
      </c>
      <c r="J44" s="57">
        <f t="shared" si="6"/>
        <v>7.4202352941176469E-2</v>
      </c>
      <c r="K44" s="57">
        <f t="shared" si="3"/>
        <v>2.0329411764705884E-4</v>
      </c>
      <c r="M44" s="57">
        <f t="shared" si="7"/>
        <v>3.2463529411764704E-2</v>
      </c>
      <c r="N44" s="57">
        <f t="shared" si="4"/>
        <v>8.8941176470588238E-5</v>
      </c>
      <c r="P44" s="57">
        <f t="shared" si="8"/>
        <v>9.2752941176470587E-3</v>
      </c>
      <c r="Q44" s="57">
        <f t="shared" si="5"/>
        <v>2.5411764705882355E-5</v>
      </c>
    </row>
    <row r="45" spans="1:18" x14ac:dyDescent="0.2">
      <c r="A45" s="31" t="s">
        <v>7</v>
      </c>
      <c r="B45" s="31" t="s">
        <v>6</v>
      </c>
      <c r="C45" s="31">
        <v>3.2</v>
      </c>
      <c r="D45" s="44">
        <f t="shared" si="0"/>
        <v>0.40658823529411769</v>
      </c>
      <c r="E45" s="34">
        <f t="shared" si="1"/>
        <v>148.40470588235294</v>
      </c>
      <c r="F45" s="45">
        <f t="shared" si="2"/>
        <v>1.5058823529411767E-2</v>
      </c>
      <c r="G45" s="45">
        <f t="shared" si="2"/>
        <v>5.4964705882352938</v>
      </c>
      <c r="J45" s="57">
        <f t="shared" si="6"/>
        <v>87.9435294117647</v>
      </c>
      <c r="K45" s="57">
        <f t="shared" si="3"/>
        <v>0.24094117647058827</v>
      </c>
      <c r="M45" s="57">
        <f t="shared" si="7"/>
        <v>38.475294117647053</v>
      </c>
      <c r="N45" s="57">
        <f t="shared" si="4"/>
        <v>0.10541176470588237</v>
      </c>
      <c r="P45" s="57">
        <f t="shared" si="8"/>
        <v>10.992941176470588</v>
      </c>
      <c r="Q45" s="57">
        <f t="shared" si="5"/>
        <v>3.0117647058823534E-2</v>
      </c>
    </row>
    <row r="46" spans="1:18" x14ac:dyDescent="0.2">
      <c r="A46" s="31" t="s">
        <v>9</v>
      </c>
      <c r="B46" s="31" t="s">
        <v>8</v>
      </c>
      <c r="C46" s="31">
        <v>2.0000000000000001E-4</v>
      </c>
      <c r="D46" s="44">
        <f t="shared" si="0"/>
        <v>2.5411764705882358E-5</v>
      </c>
      <c r="E46" s="34">
        <f t="shared" si="1"/>
        <v>9.2752941176470587E-3</v>
      </c>
      <c r="F46" s="45">
        <f t="shared" si="2"/>
        <v>9.4117647058823544E-7</v>
      </c>
      <c r="G46" s="45">
        <f t="shared" si="2"/>
        <v>3.4352941176470585E-4</v>
      </c>
      <c r="J46" s="57">
        <f t="shared" si="6"/>
        <v>5.4964705882352936E-3</v>
      </c>
      <c r="K46" s="57">
        <f t="shared" si="3"/>
        <v>1.5058823529411767E-5</v>
      </c>
      <c r="M46" s="57">
        <f t="shared" si="7"/>
        <v>2.4047058823529407E-3</v>
      </c>
      <c r="N46" s="57">
        <f t="shared" si="4"/>
        <v>6.588235294117648E-6</v>
      </c>
      <c r="P46" s="57">
        <f t="shared" si="8"/>
        <v>6.870588235294117E-4</v>
      </c>
      <c r="Q46" s="57">
        <f t="shared" si="5"/>
        <v>1.8823529411764709E-6</v>
      </c>
    </row>
    <row r="47" spans="1:18" x14ac:dyDescent="0.2">
      <c r="A47" s="31" t="s">
        <v>11</v>
      </c>
      <c r="B47" s="31" t="s">
        <v>10</v>
      </c>
      <c r="C47" s="31">
        <v>4.4000000000000003E-3</v>
      </c>
      <c r="D47" s="44">
        <f t="shared" si="0"/>
        <v>5.5905882352941185E-4</v>
      </c>
      <c r="E47" s="34">
        <f t="shared" si="1"/>
        <v>0.20405647058823531</v>
      </c>
      <c r="F47" s="45">
        <f t="shared" si="2"/>
        <v>2.0705882352941179E-5</v>
      </c>
      <c r="G47" s="45">
        <f t="shared" si="2"/>
        <v>7.5576470588235301E-3</v>
      </c>
      <c r="J47" s="57">
        <f t="shared" si="6"/>
        <v>0.12092235294117648</v>
      </c>
      <c r="K47" s="57">
        <f t="shared" si="3"/>
        <v>3.3129411764705886E-4</v>
      </c>
      <c r="M47" s="57">
        <f t="shared" si="7"/>
        <v>5.290352941176471E-2</v>
      </c>
      <c r="N47" s="57">
        <f t="shared" si="4"/>
        <v>1.4494117647058824E-4</v>
      </c>
      <c r="P47" s="57">
        <f t="shared" si="8"/>
        <v>1.511529411764706E-2</v>
      </c>
      <c r="Q47" s="57">
        <f t="shared" si="5"/>
        <v>4.1411764705882357E-5</v>
      </c>
    </row>
    <row r="48" spans="1:18" x14ac:dyDescent="0.2">
      <c r="A48" s="31" t="s">
        <v>17</v>
      </c>
      <c r="B48" s="31" t="s">
        <v>16</v>
      </c>
      <c r="C48" s="31">
        <v>1.2E-5</v>
      </c>
      <c r="D48" s="44">
        <f t="shared" si="0"/>
        <v>1.5247058823529414E-6</v>
      </c>
      <c r="E48" s="34">
        <f t="shared" si="1"/>
        <v>5.5651764705882348E-4</v>
      </c>
      <c r="F48" s="45">
        <f t="shared" si="2"/>
        <v>5.6470588235294123E-8</v>
      </c>
      <c r="G48" s="45">
        <f t="shared" si="2"/>
        <v>2.061176470588235E-5</v>
      </c>
      <c r="J48" s="57">
        <f t="shared" si="6"/>
        <v>3.297882352941176E-4</v>
      </c>
      <c r="K48" s="57">
        <f t="shared" si="3"/>
        <v>9.0352941176470598E-7</v>
      </c>
      <c r="M48" s="57">
        <f t="shared" si="7"/>
        <v>1.4428235294117645E-4</v>
      </c>
      <c r="N48" s="57">
        <f t="shared" si="4"/>
        <v>3.9529411764705884E-7</v>
      </c>
      <c r="P48" s="57">
        <f t="shared" si="8"/>
        <v>4.12235294117647E-5</v>
      </c>
      <c r="Q48" s="57">
        <f t="shared" si="5"/>
        <v>1.1294117647058825E-7</v>
      </c>
    </row>
    <row r="49" spans="1:17" ht="17" x14ac:dyDescent="0.2">
      <c r="A49" s="31" t="s">
        <v>19</v>
      </c>
      <c r="B49" s="46" t="s">
        <v>18</v>
      </c>
      <c r="C49" s="31">
        <v>1.1000000000000001E-3</v>
      </c>
      <c r="D49" s="44">
        <f t="shared" si="0"/>
        <v>1.3976470588235296E-4</v>
      </c>
      <c r="E49" s="34">
        <f t="shared" si="1"/>
        <v>5.1014117647058828E-2</v>
      </c>
      <c r="F49" s="45">
        <f t="shared" si="2"/>
        <v>5.1764705882352947E-6</v>
      </c>
      <c r="G49" s="45">
        <f t="shared" si="2"/>
        <v>1.8894117647058825E-3</v>
      </c>
      <c r="J49" s="57">
        <f t="shared" si="6"/>
        <v>3.023058823529412E-2</v>
      </c>
      <c r="K49" s="57">
        <f t="shared" si="3"/>
        <v>8.2823529411764715E-5</v>
      </c>
      <c r="M49" s="57">
        <f t="shared" si="7"/>
        <v>1.3225882352941178E-2</v>
      </c>
      <c r="N49" s="57">
        <f t="shared" si="4"/>
        <v>3.6235294117647061E-5</v>
      </c>
      <c r="P49" s="57">
        <f t="shared" si="8"/>
        <v>3.778823529411765E-3</v>
      </c>
      <c r="Q49" s="57">
        <f t="shared" si="5"/>
        <v>1.0352941176470589E-5</v>
      </c>
    </row>
    <row r="50" spans="1:17" x14ac:dyDescent="0.2">
      <c r="A50" s="31" t="s">
        <v>21</v>
      </c>
      <c r="B50" s="31" t="s">
        <v>20</v>
      </c>
      <c r="C50" s="31">
        <v>1.4E-3</v>
      </c>
      <c r="D50" s="44">
        <f t="shared" si="0"/>
        <v>1.7788235294117648E-4</v>
      </c>
      <c r="E50" s="34">
        <f t="shared" si="1"/>
        <v>6.4927058823529407E-2</v>
      </c>
      <c r="F50" s="45">
        <f t="shared" si="2"/>
        <v>6.5882352941176472E-6</v>
      </c>
      <c r="G50" s="45">
        <f t="shared" si="2"/>
        <v>2.4047058823529412E-3</v>
      </c>
      <c r="J50" s="57">
        <f t="shared" si="6"/>
        <v>3.8475294117647059E-2</v>
      </c>
      <c r="K50" s="57">
        <f t="shared" si="3"/>
        <v>1.0541176470588235E-4</v>
      </c>
      <c r="M50" s="57">
        <f t="shared" si="7"/>
        <v>1.6832941176470589E-2</v>
      </c>
      <c r="N50" s="57">
        <f t="shared" si="4"/>
        <v>4.6117647058823534E-5</v>
      </c>
      <c r="P50" s="57">
        <f t="shared" si="8"/>
        <v>4.8094117647058824E-3</v>
      </c>
      <c r="Q50" s="57">
        <f t="shared" si="5"/>
        <v>1.3176470588235294E-5</v>
      </c>
    </row>
    <row r="51" spans="1:17" x14ac:dyDescent="0.2">
      <c r="A51" s="31" t="s">
        <v>23</v>
      </c>
      <c r="B51" s="31" t="s">
        <v>22</v>
      </c>
      <c r="C51" s="31">
        <v>8.3999999999999995E-5</v>
      </c>
      <c r="D51" s="44">
        <f t="shared" si="0"/>
        <v>1.067294117647059E-5</v>
      </c>
      <c r="E51" s="34">
        <f t="shared" si="1"/>
        <v>3.8956235294117644E-3</v>
      </c>
      <c r="F51" s="45">
        <f t="shared" si="2"/>
        <v>3.9529411764705889E-7</v>
      </c>
      <c r="G51" s="45">
        <f t="shared" si="2"/>
        <v>1.4428235294117645E-4</v>
      </c>
      <c r="J51" s="57">
        <f t="shared" si="6"/>
        <v>2.3085176470588231E-3</v>
      </c>
      <c r="K51" s="57">
        <f t="shared" si="3"/>
        <v>6.3247058823529423E-6</v>
      </c>
      <c r="M51" s="57">
        <f t="shared" si="7"/>
        <v>1.0099764705882351E-3</v>
      </c>
      <c r="N51" s="57">
        <f t="shared" si="4"/>
        <v>2.7670588235294121E-6</v>
      </c>
      <c r="P51" s="57">
        <f t="shared" si="8"/>
        <v>2.8856470588235289E-4</v>
      </c>
      <c r="Q51" s="57">
        <f t="shared" si="5"/>
        <v>7.9058823529411778E-7</v>
      </c>
    </row>
    <row r="52" spans="1:17" x14ac:dyDescent="0.2">
      <c r="A52" s="31" t="s">
        <v>25</v>
      </c>
      <c r="B52" s="31" t="s">
        <v>24</v>
      </c>
      <c r="C52" s="31">
        <v>8.4999999999999995E-4</v>
      </c>
      <c r="D52" s="44">
        <f t="shared" si="0"/>
        <v>1.0800000000000001E-4</v>
      </c>
      <c r="E52" s="34">
        <f t="shared" si="1"/>
        <v>3.9419999999999997E-2</v>
      </c>
      <c r="F52" s="45">
        <f t="shared" si="2"/>
        <v>4.0000000000000007E-6</v>
      </c>
      <c r="G52" s="45">
        <f t="shared" si="2"/>
        <v>1.4599999999999999E-3</v>
      </c>
      <c r="J52" s="57">
        <f>G52*16</f>
        <v>2.3359999999999999E-2</v>
      </c>
      <c r="K52" s="57">
        <f t="shared" si="3"/>
        <v>6.4000000000000011E-5</v>
      </c>
      <c r="M52" s="57">
        <f>G52*7</f>
        <v>1.022E-2</v>
      </c>
      <c r="N52" s="57">
        <f t="shared" si="4"/>
        <v>2.8000000000000003E-5</v>
      </c>
      <c r="P52" s="57">
        <f>G52*2</f>
        <v>2.9199999999999999E-3</v>
      </c>
      <c r="Q52" s="57">
        <f t="shared" si="5"/>
        <v>8.0000000000000013E-6</v>
      </c>
    </row>
    <row r="53" spans="1:17" x14ac:dyDescent="0.2">
      <c r="A53" s="31" t="s">
        <v>27</v>
      </c>
      <c r="B53" s="31" t="s">
        <v>26</v>
      </c>
      <c r="C53" s="31">
        <v>9.4999999999999998E-3</v>
      </c>
      <c r="D53" s="44">
        <f t="shared" si="0"/>
        <v>1.207058823529412E-3</v>
      </c>
      <c r="E53" s="34">
        <f t="shared" si="1"/>
        <v>0.44057647058823529</v>
      </c>
      <c r="F53" s="45">
        <f t="shared" si="2"/>
        <v>4.4705882352941186E-5</v>
      </c>
      <c r="G53" s="45">
        <f t="shared" si="2"/>
        <v>1.631764705882353E-2</v>
      </c>
      <c r="J53" s="57">
        <f t="shared" ref="J53:J64" si="9">G53*16</f>
        <v>0.26108235294117649</v>
      </c>
      <c r="K53" s="57">
        <f t="shared" si="3"/>
        <v>7.1529411764705898E-4</v>
      </c>
      <c r="M53" s="57">
        <f t="shared" ref="M53:M64" si="10">G53*7</f>
        <v>0.11422352941176471</v>
      </c>
      <c r="N53" s="57">
        <f t="shared" si="4"/>
        <v>3.1294117647058832E-4</v>
      </c>
      <c r="P53" s="57">
        <f t="shared" ref="P53:P64" si="11">G53*2</f>
        <v>3.2635294117647061E-2</v>
      </c>
      <c r="Q53" s="57">
        <f t="shared" si="5"/>
        <v>8.9411764705882372E-5</v>
      </c>
    </row>
    <row r="54" spans="1:17" x14ac:dyDescent="0.2">
      <c r="A54" s="31" t="s">
        <v>32</v>
      </c>
      <c r="B54" s="31" t="s">
        <v>31</v>
      </c>
      <c r="C54" s="31">
        <v>6.3E-3</v>
      </c>
      <c r="D54" s="44">
        <f t="shared" si="0"/>
        <v>8.004705882352942E-4</v>
      </c>
      <c r="E54" s="34">
        <f t="shared" si="1"/>
        <v>0.29217176470588235</v>
      </c>
      <c r="F54" s="45">
        <f t="shared" si="2"/>
        <v>2.9647058823529414E-5</v>
      </c>
      <c r="G54" s="45">
        <f t="shared" si="2"/>
        <v>1.0821176470588235E-2</v>
      </c>
      <c r="J54" s="57">
        <f t="shared" si="9"/>
        <v>0.17313882352941176</v>
      </c>
      <c r="K54" s="57">
        <f t="shared" si="3"/>
        <v>4.7435294117647062E-4</v>
      </c>
      <c r="M54" s="57">
        <f t="shared" si="10"/>
        <v>7.5748235294117644E-2</v>
      </c>
      <c r="N54" s="57">
        <f t="shared" si="4"/>
        <v>2.0752941176470591E-4</v>
      </c>
      <c r="P54" s="57">
        <f t="shared" si="11"/>
        <v>2.164235294117647E-2</v>
      </c>
      <c r="Q54" s="57">
        <f t="shared" si="5"/>
        <v>5.9294117647058828E-5</v>
      </c>
    </row>
    <row r="55" spans="1:17" x14ac:dyDescent="0.2">
      <c r="A55" s="31" t="s">
        <v>35</v>
      </c>
      <c r="B55" s="31" t="s">
        <v>34</v>
      </c>
      <c r="C55" s="31">
        <v>5.0000000000000001E-4</v>
      </c>
      <c r="D55" s="44">
        <f t="shared" si="0"/>
        <v>6.352941176470589E-5</v>
      </c>
      <c r="E55" s="34">
        <f t="shared" si="1"/>
        <v>2.3188235294117648E-2</v>
      </c>
      <c r="F55" s="45">
        <f t="shared" si="2"/>
        <v>2.3529411764705885E-6</v>
      </c>
      <c r="G55" s="45">
        <f t="shared" si="2"/>
        <v>8.5882352941176474E-4</v>
      </c>
      <c r="J55" s="57">
        <f t="shared" si="9"/>
        <v>1.3741176470588236E-2</v>
      </c>
      <c r="K55" s="57">
        <f t="shared" si="3"/>
        <v>3.7647058823529415E-5</v>
      </c>
      <c r="M55" s="57">
        <f t="shared" si="10"/>
        <v>6.0117647058823536E-3</v>
      </c>
      <c r="N55" s="57">
        <f t="shared" si="4"/>
        <v>1.647058823529412E-5</v>
      </c>
      <c r="P55" s="57">
        <f t="shared" si="11"/>
        <v>1.7176470588235295E-3</v>
      </c>
      <c r="Q55" s="57">
        <f t="shared" si="5"/>
        <v>4.7058823529411769E-6</v>
      </c>
    </row>
    <row r="56" spans="1:17" x14ac:dyDescent="0.2">
      <c r="A56" s="31" t="s">
        <v>37</v>
      </c>
      <c r="B56" s="31" t="s">
        <v>36</v>
      </c>
      <c r="C56" s="31">
        <v>3.8000000000000002E-4</v>
      </c>
      <c r="D56" s="44">
        <f t="shared" si="0"/>
        <v>4.8282352941176477E-5</v>
      </c>
      <c r="E56" s="34">
        <f t="shared" si="1"/>
        <v>1.7623058823529412E-2</v>
      </c>
      <c r="F56" s="45">
        <f t="shared" si="2"/>
        <v>1.7882352941176474E-6</v>
      </c>
      <c r="G56" s="45">
        <f t="shared" si="2"/>
        <v>6.5270588235294121E-4</v>
      </c>
      <c r="J56" s="57">
        <f t="shared" si="9"/>
        <v>1.0443294117647059E-2</v>
      </c>
      <c r="K56" s="57">
        <f t="shared" si="3"/>
        <v>2.8611764705882358E-5</v>
      </c>
      <c r="M56" s="57">
        <f t="shared" si="10"/>
        <v>4.5689411764705881E-3</v>
      </c>
      <c r="N56" s="57">
        <f t="shared" si="4"/>
        <v>1.2517647058823532E-5</v>
      </c>
      <c r="P56" s="57">
        <f t="shared" si="11"/>
        <v>1.3054117647058824E-3</v>
      </c>
      <c r="Q56" s="57">
        <f t="shared" si="5"/>
        <v>3.5764705882352948E-6</v>
      </c>
    </row>
    <row r="57" spans="1:17" x14ac:dyDescent="0.2">
      <c r="A57" s="31" t="s">
        <v>39</v>
      </c>
      <c r="B57" s="31" t="s">
        <v>38</v>
      </c>
      <c r="C57" s="31">
        <v>2.5999999999999998E-4</v>
      </c>
      <c r="D57" s="44">
        <f t="shared" si="0"/>
        <v>3.3035294117647058E-5</v>
      </c>
      <c r="E57" s="34">
        <f t="shared" si="1"/>
        <v>1.2057882352941175E-2</v>
      </c>
      <c r="F57" s="45">
        <f t="shared" si="2"/>
        <v>1.2235294117647059E-6</v>
      </c>
      <c r="G57" s="45">
        <f t="shared" si="2"/>
        <v>4.4658823529411762E-4</v>
      </c>
      <c r="J57" s="57">
        <f t="shared" si="9"/>
        <v>7.1454117647058819E-3</v>
      </c>
      <c r="K57" s="57">
        <f t="shared" si="3"/>
        <v>1.9576470588235294E-5</v>
      </c>
      <c r="M57" s="57">
        <f t="shared" si="10"/>
        <v>3.1261176470588235E-3</v>
      </c>
      <c r="N57" s="57">
        <f t="shared" si="4"/>
        <v>8.5647058823529403E-6</v>
      </c>
      <c r="P57" s="57">
        <f t="shared" si="11"/>
        <v>8.9317647058823524E-4</v>
      </c>
      <c r="Q57" s="57">
        <f t="shared" si="5"/>
        <v>2.4470588235294118E-6</v>
      </c>
    </row>
    <row r="58" spans="1:17" x14ac:dyDescent="0.2">
      <c r="A58" s="31" t="s">
        <v>41</v>
      </c>
      <c r="B58" s="31" t="s">
        <v>40</v>
      </c>
      <c r="C58" s="31">
        <v>1.65E-3</v>
      </c>
      <c r="D58" s="44">
        <f t="shared" si="0"/>
        <v>2.0964705882352944E-4</v>
      </c>
      <c r="E58" s="34">
        <f t="shared" si="1"/>
        <v>7.6521176470588231E-2</v>
      </c>
      <c r="F58" s="45">
        <f t="shared" si="2"/>
        <v>7.7647058823529429E-6</v>
      </c>
      <c r="G58" s="45">
        <f t="shared" si="2"/>
        <v>2.8341176470588233E-3</v>
      </c>
      <c r="J58" s="57">
        <f t="shared" si="9"/>
        <v>4.5345882352941173E-2</v>
      </c>
      <c r="K58" s="57">
        <f t="shared" si="3"/>
        <v>1.2423529411764709E-4</v>
      </c>
      <c r="M58" s="57">
        <f t="shared" si="10"/>
        <v>1.9838823529411763E-2</v>
      </c>
      <c r="N58" s="57">
        <f t="shared" si="4"/>
        <v>5.4352941176470598E-5</v>
      </c>
      <c r="P58" s="57">
        <f t="shared" si="11"/>
        <v>5.6682352941176467E-3</v>
      </c>
      <c r="Q58" s="57">
        <f t="shared" si="5"/>
        <v>1.5529411764705886E-5</v>
      </c>
    </row>
    <row r="59" spans="1:17" x14ac:dyDescent="0.2">
      <c r="A59" s="31" t="s">
        <v>45</v>
      </c>
      <c r="B59" s="31">
        <v>365</v>
      </c>
      <c r="C59" s="31">
        <v>2.0999999999999999E-3</v>
      </c>
      <c r="D59" s="44">
        <f t="shared" si="0"/>
        <v>2.6682352941176472E-4</v>
      </c>
      <c r="E59" s="34">
        <f t="shared" si="1"/>
        <v>9.7390588235294104E-2</v>
      </c>
      <c r="F59" s="45">
        <f t="shared" si="2"/>
        <v>9.8823529411764707E-6</v>
      </c>
      <c r="G59" s="45">
        <f t="shared" si="2"/>
        <v>3.6070588235294111E-3</v>
      </c>
      <c r="J59" s="57">
        <f t="shared" si="9"/>
        <v>5.7712941176470578E-2</v>
      </c>
      <c r="K59" s="57">
        <f t="shared" si="3"/>
        <v>1.5811764705882353E-4</v>
      </c>
      <c r="M59" s="57">
        <f t="shared" si="10"/>
        <v>2.5249411764705878E-2</v>
      </c>
      <c r="N59" s="57">
        <f t="shared" si="4"/>
        <v>6.9176470588235293E-5</v>
      </c>
      <c r="P59" s="57">
        <f t="shared" si="11"/>
        <v>7.2141176470588222E-3</v>
      </c>
      <c r="Q59" s="57">
        <f t="shared" si="5"/>
        <v>1.9764705882352941E-5</v>
      </c>
    </row>
    <row r="60" spans="1:17" x14ac:dyDescent="0.2">
      <c r="A60" s="31" t="s">
        <v>52</v>
      </c>
      <c r="B60" s="31" t="s">
        <v>51</v>
      </c>
      <c r="C60" s="31">
        <v>2.4000000000000001E-5</v>
      </c>
      <c r="D60" s="44">
        <f t="shared" si="0"/>
        <v>3.0494117647058828E-6</v>
      </c>
      <c r="E60" s="34">
        <f t="shared" si="1"/>
        <v>1.113035294117647E-3</v>
      </c>
      <c r="F60" s="45">
        <f t="shared" si="2"/>
        <v>1.1294117647058825E-7</v>
      </c>
      <c r="G60" s="45">
        <f t="shared" si="2"/>
        <v>4.12235294117647E-5</v>
      </c>
      <c r="J60" s="57">
        <f t="shared" si="9"/>
        <v>6.595764705882352E-4</v>
      </c>
      <c r="K60" s="57">
        <f t="shared" si="3"/>
        <v>1.807058823529412E-6</v>
      </c>
      <c r="M60" s="57">
        <f t="shared" si="10"/>
        <v>2.8856470588235289E-4</v>
      </c>
      <c r="N60" s="57">
        <f t="shared" si="4"/>
        <v>7.9058823529411768E-7</v>
      </c>
      <c r="P60" s="57">
        <f t="shared" si="11"/>
        <v>8.24470588235294E-5</v>
      </c>
      <c r="Q60" s="57">
        <f t="shared" si="5"/>
        <v>2.2588235294117649E-7</v>
      </c>
    </row>
    <row r="61" spans="1:17" x14ac:dyDescent="0.2">
      <c r="A61" s="31" t="s">
        <v>54</v>
      </c>
      <c r="B61" s="31" t="s">
        <v>53</v>
      </c>
      <c r="C61" s="31">
        <v>3.6600000000000001E-2</v>
      </c>
      <c r="D61" s="44">
        <f t="shared" si="0"/>
        <v>4.6503529411764709E-3</v>
      </c>
      <c r="E61" s="34">
        <f t="shared" si="1"/>
        <v>1.6973788235294118</v>
      </c>
      <c r="F61" s="45">
        <f t="shared" si="2"/>
        <v>1.7223529411764706E-4</v>
      </c>
      <c r="G61" s="45">
        <f t="shared" si="2"/>
        <v>6.2865882352941174E-2</v>
      </c>
      <c r="J61" s="57">
        <f t="shared" si="9"/>
        <v>1.0058541176470588</v>
      </c>
      <c r="K61" s="57">
        <f t="shared" si="3"/>
        <v>2.755764705882353E-3</v>
      </c>
      <c r="M61" s="57">
        <f t="shared" si="10"/>
        <v>0.44006117647058823</v>
      </c>
      <c r="N61" s="57">
        <f t="shared" si="4"/>
        <v>1.2056470588235294E-3</v>
      </c>
      <c r="P61" s="57">
        <f t="shared" si="11"/>
        <v>0.12573176470588235</v>
      </c>
      <c r="Q61" s="57">
        <f t="shared" si="5"/>
        <v>3.4447058823529412E-4</v>
      </c>
    </row>
    <row r="62" spans="1:17" x14ac:dyDescent="0.2">
      <c r="A62" s="31" t="s">
        <v>56</v>
      </c>
      <c r="B62" s="31" t="s">
        <v>55</v>
      </c>
      <c r="C62" s="31">
        <v>2.3E-3</v>
      </c>
      <c r="D62" s="44">
        <f t="shared" si="0"/>
        <v>2.9223529411764708E-4</v>
      </c>
      <c r="E62" s="34">
        <f t="shared" si="1"/>
        <v>0.10666588235294117</v>
      </c>
      <c r="F62" s="45">
        <f t="shared" si="2"/>
        <v>1.0823529411764706E-5</v>
      </c>
      <c r="G62" s="45">
        <f t="shared" si="2"/>
        <v>3.9505882352941172E-3</v>
      </c>
      <c r="J62" s="57">
        <f t="shared" si="9"/>
        <v>6.3209411764705875E-2</v>
      </c>
      <c r="K62" s="57">
        <f t="shared" si="3"/>
        <v>1.731764705882353E-4</v>
      </c>
      <c r="M62" s="57">
        <f t="shared" si="10"/>
        <v>2.7654117647058822E-2</v>
      </c>
      <c r="N62" s="57">
        <f t="shared" si="4"/>
        <v>7.5764705882352951E-5</v>
      </c>
      <c r="P62" s="57">
        <f t="shared" si="11"/>
        <v>7.9011764705882344E-3</v>
      </c>
      <c r="Q62" s="57">
        <f t="shared" si="5"/>
        <v>2.1647058823529413E-5</v>
      </c>
    </row>
    <row r="63" spans="1:17" x14ac:dyDescent="0.2">
      <c r="A63" s="31" t="s">
        <v>58</v>
      </c>
      <c r="B63" s="31" t="s">
        <v>57</v>
      </c>
      <c r="C63" s="31">
        <v>2.7199999999999998E-2</v>
      </c>
      <c r="D63" s="44">
        <f t="shared" si="0"/>
        <v>3.4560000000000003E-3</v>
      </c>
      <c r="E63" s="34">
        <f t="shared" si="1"/>
        <v>1.2614399999999999</v>
      </c>
      <c r="F63" s="45">
        <f t="shared" si="2"/>
        <v>1.2800000000000002E-4</v>
      </c>
      <c r="G63" s="45">
        <f t="shared" si="2"/>
        <v>4.6719999999999998E-2</v>
      </c>
      <c r="J63" s="57">
        <f t="shared" si="9"/>
        <v>0.74751999999999996</v>
      </c>
      <c r="K63" s="57">
        <f t="shared" si="3"/>
        <v>2.0480000000000003E-3</v>
      </c>
      <c r="M63" s="57">
        <f t="shared" si="10"/>
        <v>0.32704</v>
      </c>
      <c r="N63" s="57">
        <f t="shared" si="4"/>
        <v>8.9600000000000009E-4</v>
      </c>
      <c r="P63" s="57">
        <f t="shared" si="11"/>
        <v>9.3439999999999995E-2</v>
      </c>
      <c r="Q63" s="57">
        <f t="shared" si="5"/>
        <v>2.5600000000000004E-4</v>
      </c>
    </row>
    <row r="64" spans="1:17" x14ac:dyDescent="0.2">
      <c r="A64" s="31" t="s">
        <v>60</v>
      </c>
      <c r="B64" s="31" t="s">
        <v>59</v>
      </c>
      <c r="C64" s="31">
        <v>2.9000000000000001E-2</v>
      </c>
      <c r="D64" s="44">
        <f t="shared" si="0"/>
        <v>3.6847058823529419E-3</v>
      </c>
      <c r="E64" s="34">
        <f t="shared" si="1"/>
        <v>1.3449176470588236</v>
      </c>
      <c r="F64" s="45">
        <f t="shared" si="2"/>
        <v>1.3647058823529413E-4</v>
      </c>
      <c r="G64" s="45">
        <f t="shared" si="2"/>
        <v>4.9811764705882354E-2</v>
      </c>
      <c r="J64" s="57">
        <f t="shared" si="9"/>
        <v>0.79698823529411766</v>
      </c>
      <c r="K64" s="57">
        <f t="shared" si="3"/>
        <v>2.1835294117647061E-3</v>
      </c>
      <c r="M64" s="57">
        <f t="shared" si="10"/>
        <v>0.3486823529411765</v>
      </c>
      <c r="N64" s="57">
        <f t="shared" si="4"/>
        <v>9.5529411764705896E-4</v>
      </c>
      <c r="P64" s="57">
        <f t="shared" si="11"/>
        <v>9.9623529411764708E-2</v>
      </c>
      <c r="Q64" s="57">
        <f t="shared" si="5"/>
        <v>2.7294117647058827E-4</v>
      </c>
    </row>
    <row r="65" spans="1:7" x14ac:dyDescent="0.2">
      <c r="A65" s="31" t="s">
        <v>90</v>
      </c>
      <c r="B65" s="31"/>
      <c r="C65" s="31"/>
      <c r="D65" s="47">
        <f>SUM(D38:D64)</f>
        <v>0.42644259952941177</v>
      </c>
      <c r="E65" s="47">
        <f>SUM(E38:E64)</f>
        <v>155.65154882823529</v>
      </c>
      <c r="F65" s="47">
        <f>SUM(F38:F64)</f>
        <v>1.5794170352941183E-2</v>
      </c>
      <c r="G65" s="47">
        <f>SUM(G38:G64)</f>
        <v>5.7648721788235306</v>
      </c>
    </row>
    <row r="139" spans="1:8" x14ac:dyDescent="0.2">
      <c r="A139" s="281" t="s">
        <v>91</v>
      </c>
      <c r="B139" s="282"/>
      <c r="C139" s="282"/>
      <c r="D139" s="282"/>
      <c r="E139" s="283"/>
    </row>
    <row r="140" spans="1:8" x14ac:dyDescent="0.2">
      <c r="A140" s="48" t="s">
        <v>92</v>
      </c>
      <c r="B140" s="49">
        <v>1.04E-5</v>
      </c>
      <c r="C140" s="63" t="s">
        <v>93</v>
      </c>
      <c r="D140" s="51" t="s">
        <v>94</v>
      </c>
      <c r="E140" s="52" t="e">
        <f>B140*#REF!</f>
        <v>#REF!</v>
      </c>
      <c r="F140" t="s">
        <v>95</v>
      </c>
    </row>
    <row r="141" spans="1:8" x14ac:dyDescent="0.2">
      <c r="A141" s="48" t="s">
        <v>96</v>
      </c>
      <c r="B141" s="49">
        <v>1.0206E-2</v>
      </c>
      <c r="C141" s="63" t="s">
        <v>93</v>
      </c>
      <c r="D141" s="51" t="s">
        <v>94</v>
      </c>
      <c r="E141" s="52" t="e">
        <f>B141*#REF!</f>
        <v>#REF!</v>
      </c>
      <c r="F141" t="s">
        <v>95</v>
      </c>
    </row>
    <row r="142" spans="1:8" x14ac:dyDescent="0.2">
      <c r="A142" s="48" t="s">
        <v>97</v>
      </c>
      <c r="B142" s="49">
        <v>2.4700000000000001E-5</v>
      </c>
      <c r="C142" s="63" t="s">
        <v>93</v>
      </c>
      <c r="D142" s="51" t="s">
        <v>94</v>
      </c>
      <c r="E142" s="53" t="e">
        <f>B142*#REF!</f>
        <v>#REF!</v>
      </c>
      <c r="F142" t="s">
        <v>95</v>
      </c>
      <c r="G142" s="24" t="e">
        <f>SUM(E140:E142)</f>
        <v>#REF!</v>
      </c>
      <c r="H142" t="s">
        <v>95</v>
      </c>
    </row>
    <row r="143" spans="1:8" x14ac:dyDescent="0.2">
      <c r="A143" s="281" t="s">
        <v>98</v>
      </c>
      <c r="B143" s="282"/>
      <c r="C143" s="282"/>
      <c r="D143" s="282"/>
      <c r="E143" s="283"/>
      <c r="G143" t="e">
        <f>G142*1.10231</f>
        <v>#REF!</v>
      </c>
      <c r="H143" t="s">
        <v>99</v>
      </c>
    </row>
    <row r="144" spans="1:8" x14ac:dyDescent="0.2">
      <c r="A144" s="48" t="s">
        <v>13</v>
      </c>
      <c r="B144" s="49">
        <v>7.76E-4</v>
      </c>
      <c r="C144" s="63" t="s">
        <v>100</v>
      </c>
      <c r="D144" s="51" t="s">
        <v>101</v>
      </c>
      <c r="E144" s="54" t="e">
        <f>B144*#REF!*#REF!/1000000/2000</f>
        <v>#REF!</v>
      </c>
    </row>
    <row r="145" spans="1:8" x14ac:dyDescent="0.2">
      <c r="A145" s="48" t="s">
        <v>54</v>
      </c>
      <c r="B145" s="49">
        <v>2.81E-4</v>
      </c>
      <c r="C145" s="63" t="s">
        <v>100</v>
      </c>
      <c r="D145" s="51" t="s">
        <v>101</v>
      </c>
      <c r="E145" s="55" t="e">
        <f>B145*#REF!*#REF!/1000000/2000</f>
        <v>#REF!</v>
      </c>
      <c r="G145">
        <v>2490</v>
      </c>
    </row>
    <row r="146" spans="1:8" x14ac:dyDescent="0.2">
      <c r="A146" s="48" t="s">
        <v>102</v>
      </c>
      <c r="B146" s="49">
        <v>1.93E-4</v>
      </c>
      <c r="C146" s="63" t="s">
        <v>100</v>
      </c>
      <c r="D146" s="51" t="s">
        <v>101</v>
      </c>
      <c r="E146" s="55" t="e">
        <f>B146*#REF!*#REF!/1000000/2000</f>
        <v>#REF!</v>
      </c>
      <c r="G146">
        <f>G145*1.10231</f>
        <v>2744.7518999999998</v>
      </c>
      <c r="H146" t="s">
        <v>99</v>
      </c>
    </row>
    <row r="147" spans="1:8" x14ac:dyDescent="0.2">
      <c r="A147" s="48" t="s">
        <v>30</v>
      </c>
      <c r="B147" s="49">
        <v>7.8899999999999993E-5</v>
      </c>
      <c r="C147" s="63" t="s">
        <v>100</v>
      </c>
      <c r="D147" s="51" t="s">
        <v>101</v>
      </c>
      <c r="E147" s="55" t="e">
        <f>B147*#REF!*#REF!/1000000/2000</f>
        <v>#REF!</v>
      </c>
    </row>
    <row r="148" spans="1:8" x14ac:dyDescent="0.2">
      <c r="A148" s="48" t="s">
        <v>2</v>
      </c>
      <c r="B148" s="49">
        <v>2.5199999999999999E-5</v>
      </c>
      <c r="C148" s="63" t="s">
        <v>100</v>
      </c>
      <c r="D148" s="51" t="s">
        <v>101</v>
      </c>
      <c r="E148" s="56" t="e">
        <f>B148*#REF!*#REF!/1000000/2000</f>
        <v>#REF!</v>
      </c>
    </row>
    <row r="149" spans="1:8" x14ac:dyDescent="0.2">
      <c r="A149" s="48" t="s">
        <v>4</v>
      </c>
      <c r="B149" s="49">
        <v>7.8800000000000008E-6</v>
      </c>
      <c r="C149" s="63" t="s">
        <v>100</v>
      </c>
      <c r="D149" s="51" t="s">
        <v>101</v>
      </c>
      <c r="E149" s="56" t="e">
        <f>B149*#REF!*#REF!/1000000/2000</f>
        <v>#REF!</v>
      </c>
    </row>
    <row r="150" spans="1:8" x14ac:dyDescent="0.2">
      <c r="A150" s="48" t="s">
        <v>103</v>
      </c>
      <c r="B150" s="49">
        <v>1.2999999999999999E-4</v>
      </c>
      <c r="C150" s="63" t="s">
        <v>100</v>
      </c>
      <c r="D150" s="51" t="s">
        <v>101</v>
      </c>
      <c r="E150" s="55" t="e">
        <f>B150*#REF!*#REF!/1000000/2000</f>
        <v>#REF!</v>
      </c>
    </row>
    <row r="151" spans="1:8" x14ac:dyDescent="0.2">
      <c r="A151" s="48" t="s">
        <v>104</v>
      </c>
      <c r="B151" s="49">
        <v>2.12E-4</v>
      </c>
      <c r="C151" s="63" t="s">
        <v>100</v>
      </c>
      <c r="D151" s="51" t="s">
        <v>101</v>
      </c>
      <c r="E151" s="55" t="e">
        <f>B151*#REF!*#REF!/1000000/2000</f>
        <v>#REF!</v>
      </c>
    </row>
    <row r="152" spans="1:8" x14ac:dyDescent="0.2">
      <c r="A152" s="48" t="s">
        <v>105</v>
      </c>
      <c r="B152" s="49"/>
      <c r="C152" s="63"/>
      <c r="D152" s="48"/>
      <c r="E152" s="54" t="e">
        <f>SUM(E144:E151)</f>
        <v>#REF!</v>
      </c>
    </row>
    <row r="153" spans="1:8" x14ac:dyDescent="0.2">
      <c r="B153" s="57"/>
      <c r="C153" s="3"/>
      <c r="E153" s="24"/>
    </row>
    <row r="154" spans="1:8" x14ac:dyDescent="0.2">
      <c r="A154" t="s">
        <v>106</v>
      </c>
      <c r="B154" s="57"/>
      <c r="C154" s="3"/>
      <c r="E154" s="24"/>
    </row>
    <row r="155" spans="1:8" x14ac:dyDescent="0.2">
      <c r="A155" t="s">
        <v>107</v>
      </c>
      <c r="B155" s="57"/>
      <c r="C155" s="3"/>
      <c r="E155" s="24"/>
    </row>
    <row r="156" spans="1:8" x14ac:dyDescent="0.2">
      <c r="A156" t="s">
        <v>108</v>
      </c>
      <c r="B156" s="57"/>
      <c r="C156" s="3"/>
      <c r="E156" s="24"/>
    </row>
    <row r="157" spans="1:8" x14ac:dyDescent="0.2">
      <c r="A157" t="s">
        <v>109</v>
      </c>
      <c r="B157" s="57"/>
      <c r="C157" s="3"/>
      <c r="E157" s="24"/>
    </row>
    <row r="158" spans="1:8" x14ac:dyDescent="0.2">
      <c r="A158" t="s">
        <v>110</v>
      </c>
      <c r="B158" s="57"/>
      <c r="C158" s="3"/>
      <c r="E158" s="24"/>
    </row>
    <row r="160" spans="1:8" x14ac:dyDescent="0.2">
      <c r="A160" s="58" t="s">
        <v>111</v>
      </c>
    </row>
    <row r="162" spans="1:7" x14ac:dyDescent="0.2">
      <c r="A162" s="63" t="s">
        <v>78</v>
      </c>
      <c r="B162" s="63" t="s">
        <v>79</v>
      </c>
      <c r="C162" s="63" t="s">
        <v>80</v>
      </c>
      <c r="D162" s="63" t="s">
        <v>81</v>
      </c>
      <c r="E162" s="63" t="s">
        <v>82</v>
      </c>
      <c r="F162" s="59" t="s">
        <v>112</v>
      </c>
      <c r="G162" s="63" t="s">
        <v>113</v>
      </c>
    </row>
    <row r="163" spans="1:7" x14ac:dyDescent="0.2">
      <c r="A163" s="270" t="s">
        <v>62</v>
      </c>
      <c r="B163" s="284"/>
      <c r="C163" s="284"/>
      <c r="D163" s="284"/>
      <c r="E163" s="284"/>
      <c r="F163" s="284"/>
      <c r="G163" s="271"/>
    </row>
    <row r="164" spans="1:7" x14ac:dyDescent="0.2">
      <c r="A164" s="60" t="e">
        <f>#REF!</f>
        <v>#REF!</v>
      </c>
      <c r="B164" s="60" t="e">
        <f>#REF!</f>
        <v>#REF!</v>
      </c>
      <c r="C164" s="60" t="e">
        <f>#REF!</f>
        <v>#REF!</v>
      </c>
      <c r="D164" s="61" t="e">
        <f>#REF!</f>
        <v>#REF!</v>
      </c>
      <c r="E164" s="61" t="e">
        <f>#REF!</f>
        <v>#REF!</v>
      </c>
      <c r="F164" s="60" t="e">
        <f>SUM(E140:E142)</f>
        <v>#REF!</v>
      </c>
      <c r="G164" s="54" t="e">
        <f>E152</f>
        <v>#REF!</v>
      </c>
    </row>
    <row r="168" spans="1:7" ht="24" x14ac:dyDescent="0.3">
      <c r="A168" s="62"/>
      <c r="C168" s="12"/>
      <c r="D168" s="12"/>
      <c r="E168" s="12"/>
      <c r="F168" s="13"/>
    </row>
    <row r="169" spans="1:7" ht="24" x14ac:dyDescent="0.3">
      <c r="A169" s="62"/>
      <c r="C169" s="12"/>
      <c r="D169" s="12"/>
      <c r="E169" s="12"/>
      <c r="F169" s="13"/>
    </row>
    <row r="170" spans="1:7" ht="24" x14ac:dyDescent="0.3">
      <c r="A170" s="62"/>
      <c r="C170" s="12"/>
      <c r="D170" s="12"/>
      <c r="E170" s="12"/>
      <c r="F170" s="13"/>
    </row>
    <row r="171" spans="1:7" ht="24" x14ac:dyDescent="0.3">
      <c r="A171" s="62"/>
      <c r="C171" s="12"/>
      <c r="D171" s="12"/>
      <c r="E171" s="12"/>
      <c r="F171" s="13"/>
    </row>
    <row r="172" spans="1:7" ht="24" x14ac:dyDescent="0.3">
      <c r="A172" s="62"/>
      <c r="C172" s="12"/>
      <c r="D172" s="12"/>
      <c r="E172" s="12"/>
      <c r="F172" s="13"/>
    </row>
    <row r="173" spans="1:7" ht="24" x14ac:dyDescent="0.3">
      <c r="A173" s="62"/>
      <c r="C173" s="12"/>
      <c r="D173" s="12"/>
      <c r="E173" s="12"/>
      <c r="F173" s="13"/>
    </row>
    <row r="174" spans="1:7" ht="24" x14ac:dyDescent="0.3">
      <c r="A174" s="62"/>
      <c r="C174" s="12"/>
      <c r="D174" s="12"/>
      <c r="E174" s="12"/>
      <c r="F174" s="13"/>
    </row>
    <row r="175" spans="1:7" ht="24" x14ac:dyDescent="0.3">
      <c r="A175" s="62"/>
      <c r="B175" s="11"/>
      <c r="C175" s="12"/>
      <c r="D175" s="12"/>
      <c r="E175" s="12"/>
      <c r="F175" s="13"/>
    </row>
    <row r="177" spans="1:6" x14ac:dyDescent="0.2">
      <c r="A177" s="58"/>
    </row>
    <row r="178" spans="1:6" x14ac:dyDescent="0.2">
      <c r="A178" s="58"/>
    </row>
    <row r="179" spans="1:6" x14ac:dyDescent="0.2">
      <c r="A179" t="s">
        <v>114</v>
      </c>
      <c r="B179" s="22">
        <v>624500</v>
      </c>
      <c r="C179" t="s">
        <v>115</v>
      </c>
    </row>
    <row r="180" spans="1:6" x14ac:dyDescent="0.2">
      <c r="A180" t="s">
        <v>116</v>
      </c>
      <c r="B180" s="22">
        <v>138000</v>
      </c>
      <c r="C180" t="s">
        <v>117</v>
      </c>
    </row>
    <row r="182" spans="1:6" ht="20" customHeight="1" x14ac:dyDescent="0.2">
      <c r="A182" s="285" t="s">
        <v>76</v>
      </c>
      <c r="B182" s="286" t="s">
        <v>118</v>
      </c>
      <c r="C182" s="286"/>
      <c r="D182" s="286"/>
      <c r="E182" s="287" t="s">
        <v>119</v>
      </c>
    </row>
    <row r="183" spans="1:6" ht="31" customHeight="1" x14ac:dyDescent="0.2">
      <c r="A183" s="285"/>
      <c r="B183" s="63" t="s">
        <v>120</v>
      </c>
      <c r="C183" s="63" t="s">
        <v>121</v>
      </c>
      <c r="D183" s="63" t="s">
        <v>0</v>
      </c>
      <c r="E183" s="288"/>
    </row>
    <row r="184" spans="1:6" ht="17" customHeight="1" x14ac:dyDescent="0.2">
      <c r="A184" s="278" t="s">
        <v>122</v>
      </c>
      <c r="B184" s="279"/>
      <c r="C184" s="279"/>
      <c r="D184" s="279"/>
      <c r="E184" s="280"/>
    </row>
    <row r="185" spans="1:6" x14ac:dyDescent="0.2">
      <c r="A185" s="48" t="s">
        <v>78</v>
      </c>
      <c r="B185" s="49" t="e">
        <f>#REF!</f>
        <v>#REF!</v>
      </c>
      <c r="C185" s="63" t="s">
        <v>123</v>
      </c>
      <c r="D185" s="51" t="s">
        <v>124</v>
      </c>
      <c r="E185" s="52" t="e">
        <f>B185*$B$179/2000</f>
        <v>#REF!</v>
      </c>
    </row>
    <row r="186" spans="1:6" x14ac:dyDescent="0.2">
      <c r="A186" s="48" t="s">
        <v>79</v>
      </c>
      <c r="B186" s="49" t="e">
        <f>#REF!</f>
        <v>#REF!</v>
      </c>
      <c r="C186" s="63" t="s">
        <v>123</v>
      </c>
      <c r="D186" s="51" t="s">
        <v>124</v>
      </c>
      <c r="E186" s="52" t="e">
        <f>B186*$B$179/2000</f>
        <v>#REF!</v>
      </c>
    </row>
    <row r="187" spans="1:6" x14ac:dyDescent="0.2">
      <c r="A187" s="48" t="s">
        <v>80</v>
      </c>
      <c r="B187" s="49" t="e">
        <f>#REF!</f>
        <v>#REF!</v>
      </c>
      <c r="C187" s="63" t="s">
        <v>123</v>
      </c>
      <c r="D187" s="51" t="s">
        <v>124</v>
      </c>
      <c r="E187" s="53" t="e">
        <f>B187*$B$179/2000</f>
        <v>#REF!</v>
      </c>
    </row>
    <row r="188" spans="1:6" x14ac:dyDescent="0.2">
      <c r="A188" s="48" t="s">
        <v>81</v>
      </c>
      <c r="B188" s="49" t="e">
        <f>#REF!</f>
        <v>#REF!</v>
      </c>
      <c r="C188" s="63" t="s">
        <v>123</v>
      </c>
      <c r="D188" s="51" t="s">
        <v>124</v>
      </c>
      <c r="E188" s="53" t="e">
        <f>B188*$B$179/2000</f>
        <v>#REF!</v>
      </c>
    </row>
    <row r="189" spans="1:6" x14ac:dyDescent="0.2">
      <c r="A189" s="48" t="s">
        <v>82</v>
      </c>
      <c r="B189" s="49" t="e">
        <f>#REF!</f>
        <v>#REF!</v>
      </c>
      <c r="C189" s="63" t="s">
        <v>123</v>
      </c>
      <c r="D189" s="51" t="s">
        <v>124</v>
      </c>
      <c r="E189" s="53" t="e">
        <f>B189*$B$179/2000</f>
        <v>#REF!</v>
      </c>
    </row>
    <row r="190" spans="1:6" x14ac:dyDescent="0.2">
      <c r="A190" s="48" t="s">
        <v>125</v>
      </c>
      <c r="B190" s="49">
        <v>8.3000000000000001E-3</v>
      </c>
      <c r="C190" s="63" t="s">
        <v>126</v>
      </c>
      <c r="D190" s="51" t="s">
        <v>127</v>
      </c>
      <c r="E190" s="55">
        <f>B190*B179/1000/2000</f>
        <v>2.5916750000000003E-3</v>
      </c>
    </row>
    <row r="191" spans="1:6" x14ac:dyDescent="0.2">
      <c r="A191" s="281" t="s">
        <v>91</v>
      </c>
      <c r="B191" s="282"/>
      <c r="C191" s="282"/>
      <c r="D191" s="282"/>
      <c r="E191" s="283"/>
    </row>
    <row r="192" spans="1:6" x14ac:dyDescent="0.2">
      <c r="A192" s="48" t="s">
        <v>92</v>
      </c>
      <c r="B192" s="49">
        <v>1.04E-5</v>
      </c>
      <c r="C192" s="63" t="s">
        <v>93</v>
      </c>
      <c r="D192" s="51" t="s">
        <v>94</v>
      </c>
      <c r="E192" s="52">
        <f>B192*$B$179</f>
        <v>6.4948000000000006</v>
      </c>
      <c r="F192" t="s">
        <v>95</v>
      </c>
    </row>
    <row r="193" spans="1:6" x14ac:dyDescent="0.2">
      <c r="A193" s="48" t="s">
        <v>96</v>
      </c>
      <c r="B193" s="49">
        <v>1.0206E-2</v>
      </c>
      <c r="C193" s="63" t="s">
        <v>93</v>
      </c>
      <c r="D193" s="51" t="s">
        <v>94</v>
      </c>
      <c r="E193" s="65">
        <f>B193*$B$179</f>
        <v>6373.6469999999999</v>
      </c>
      <c r="F193" t="s">
        <v>95</v>
      </c>
    </row>
    <row r="194" spans="1:6" x14ac:dyDescent="0.2">
      <c r="A194" s="48" t="s">
        <v>97</v>
      </c>
      <c r="B194" s="49">
        <v>2.4700000000000001E-5</v>
      </c>
      <c r="C194" s="63" t="s">
        <v>93</v>
      </c>
      <c r="D194" s="51" t="s">
        <v>94</v>
      </c>
      <c r="E194" s="52">
        <f>B194*$B$179</f>
        <v>15.42515</v>
      </c>
      <c r="F194" t="s">
        <v>95</v>
      </c>
    </row>
    <row r="195" spans="1:6" x14ac:dyDescent="0.2">
      <c r="A195" s="281" t="s">
        <v>98</v>
      </c>
      <c r="B195" s="282"/>
      <c r="C195" s="282"/>
      <c r="D195" s="282"/>
      <c r="E195" s="283"/>
    </row>
    <row r="196" spans="1:6" x14ac:dyDescent="0.2">
      <c r="A196" s="48" t="s">
        <v>13</v>
      </c>
      <c r="B196" s="49">
        <v>7.76E-4</v>
      </c>
      <c r="C196" s="63" t="s">
        <v>100</v>
      </c>
      <c r="D196" s="51" t="s">
        <v>101</v>
      </c>
      <c r="E196" s="54">
        <f t="shared" ref="E196:E203" si="12">B196*$B$179*$B$180/1000000/2000</f>
        <v>3.3438228E-2</v>
      </c>
    </row>
    <row r="197" spans="1:6" x14ac:dyDescent="0.2">
      <c r="A197" s="48" t="s">
        <v>54</v>
      </c>
      <c r="B197" s="49">
        <v>2.81E-4</v>
      </c>
      <c r="C197" s="63" t="s">
        <v>100</v>
      </c>
      <c r="D197" s="51" t="s">
        <v>101</v>
      </c>
      <c r="E197" s="55">
        <f t="shared" si="12"/>
        <v>1.2108430500000001E-2</v>
      </c>
    </row>
    <row r="198" spans="1:6" x14ac:dyDescent="0.2">
      <c r="A198" s="48" t="s">
        <v>102</v>
      </c>
      <c r="B198" s="49">
        <v>1.93E-4</v>
      </c>
      <c r="C198" s="63" t="s">
        <v>100</v>
      </c>
      <c r="D198" s="51" t="s">
        <v>101</v>
      </c>
      <c r="E198" s="55">
        <f t="shared" si="12"/>
        <v>8.3164665000000013E-3</v>
      </c>
    </row>
    <row r="199" spans="1:6" x14ac:dyDescent="0.2">
      <c r="A199" s="48" t="s">
        <v>30</v>
      </c>
      <c r="B199" s="49">
        <v>7.8899999999999993E-5</v>
      </c>
      <c r="C199" s="63" t="s">
        <v>100</v>
      </c>
      <c r="D199" s="51" t="s">
        <v>101</v>
      </c>
      <c r="E199" s="55">
        <f t="shared" si="12"/>
        <v>3.3998404499999998E-3</v>
      </c>
    </row>
    <row r="200" spans="1:6" x14ac:dyDescent="0.2">
      <c r="A200" s="48" t="s">
        <v>2</v>
      </c>
      <c r="B200" s="49">
        <v>2.5199999999999999E-5</v>
      </c>
      <c r="C200" s="63" t="s">
        <v>100</v>
      </c>
      <c r="D200" s="51" t="s">
        <v>101</v>
      </c>
      <c r="E200" s="56">
        <f t="shared" si="12"/>
        <v>1.0858805999999998E-3</v>
      </c>
    </row>
    <row r="201" spans="1:6" x14ac:dyDescent="0.2">
      <c r="A201" s="48" t="s">
        <v>4</v>
      </c>
      <c r="B201" s="49">
        <v>7.8800000000000008E-6</v>
      </c>
      <c r="C201" s="63" t="s">
        <v>100</v>
      </c>
      <c r="D201" s="51" t="s">
        <v>101</v>
      </c>
      <c r="E201" s="56">
        <f t="shared" si="12"/>
        <v>3.3955314000000007E-4</v>
      </c>
    </row>
    <row r="202" spans="1:6" x14ac:dyDescent="0.2">
      <c r="A202" s="48" t="s">
        <v>103</v>
      </c>
      <c r="B202" s="49">
        <v>1.2999999999999999E-4</v>
      </c>
      <c r="C202" s="63" t="s">
        <v>100</v>
      </c>
      <c r="D202" s="51" t="s">
        <v>101</v>
      </c>
      <c r="E202" s="55">
        <f t="shared" si="12"/>
        <v>5.6017649999999999E-3</v>
      </c>
    </row>
    <row r="203" spans="1:6" x14ac:dyDescent="0.2">
      <c r="A203" s="48" t="s">
        <v>104</v>
      </c>
      <c r="B203" s="49">
        <v>2.12E-4</v>
      </c>
      <c r="C203" s="63" t="s">
        <v>100</v>
      </c>
      <c r="D203" s="51" t="s">
        <v>101</v>
      </c>
      <c r="E203" s="55">
        <f t="shared" si="12"/>
        <v>9.135186E-3</v>
      </c>
    </row>
    <row r="204" spans="1:6" x14ac:dyDescent="0.2">
      <c r="A204" s="48" t="s">
        <v>105</v>
      </c>
      <c r="B204" s="49"/>
      <c r="C204" s="63"/>
      <c r="D204" s="48"/>
      <c r="E204" s="54">
        <f>SUM(E196:E203)</f>
        <v>7.3425350190000002E-2</v>
      </c>
    </row>
    <row r="205" spans="1:6" x14ac:dyDescent="0.2">
      <c r="B205" s="57"/>
      <c r="C205" s="3"/>
      <c r="E205" s="24"/>
    </row>
    <row r="206" spans="1:6" x14ac:dyDescent="0.2">
      <c r="A206" t="s">
        <v>106</v>
      </c>
      <c r="B206" s="57"/>
      <c r="C206" s="3"/>
      <c r="E206" s="24"/>
    </row>
    <row r="207" spans="1:6" x14ac:dyDescent="0.2">
      <c r="A207" t="s">
        <v>107</v>
      </c>
      <c r="B207" s="57"/>
      <c r="C207" s="3"/>
      <c r="E207" s="24"/>
    </row>
    <row r="208" spans="1:6" x14ac:dyDescent="0.2">
      <c r="A208" t="s">
        <v>108</v>
      </c>
      <c r="B208" s="57"/>
      <c r="C208" s="3"/>
      <c r="E208" s="24"/>
    </row>
    <row r="209" spans="1:7" x14ac:dyDescent="0.2">
      <c r="A209" t="s">
        <v>109</v>
      </c>
      <c r="B209" s="57"/>
      <c r="C209" s="3"/>
      <c r="E209" s="24"/>
    </row>
    <row r="210" spans="1:7" x14ac:dyDescent="0.2">
      <c r="B210" s="57"/>
      <c r="C210" s="3"/>
      <c r="E210" s="24"/>
    </row>
    <row r="212" spans="1:7" x14ac:dyDescent="0.2">
      <c r="A212" s="58" t="s">
        <v>128</v>
      </c>
    </row>
    <row r="214" spans="1:7" x14ac:dyDescent="0.2">
      <c r="A214" s="63" t="s">
        <v>78</v>
      </c>
      <c r="B214" s="63" t="s">
        <v>79</v>
      </c>
      <c r="C214" s="63" t="s">
        <v>80</v>
      </c>
      <c r="D214" s="63" t="s">
        <v>81</v>
      </c>
      <c r="E214" s="63" t="s">
        <v>82</v>
      </c>
      <c r="F214" s="59" t="s">
        <v>112</v>
      </c>
      <c r="G214" s="63" t="s">
        <v>113</v>
      </c>
    </row>
    <row r="215" spans="1:7" x14ac:dyDescent="0.2">
      <c r="A215" s="270" t="s">
        <v>62</v>
      </c>
      <c r="B215" s="284"/>
      <c r="C215" s="284"/>
      <c r="D215" s="284"/>
      <c r="E215" s="284"/>
      <c r="F215" s="284"/>
      <c r="G215" s="271"/>
    </row>
    <row r="216" spans="1:7" x14ac:dyDescent="0.2">
      <c r="A216" s="60" t="e">
        <f>E185</f>
        <v>#REF!</v>
      </c>
      <c r="B216" s="60" t="e">
        <f>E186</f>
        <v>#REF!</v>
      </c>
      <c r="C216" s="60" t="e">
        <f>E187</f>
        <v>#REF!</v>
      </c>
      <c r="D216" s="61" t="e">
        <f>E188</f>
        <v>#REF!</v>
      </c>
      <c r="E216" s="61" t="e">
        <f>E189</f>
        <v>#REF!</v>
      </c>
      <c r="F216" s="60">
        <f>SUM(E192:E194)</f>
        <v>6395.5669500000004</v>
      </c>
      <c r="G216" s="54">
        <f>E204</f>
        <v>7.3425350190000002E-2</v>
      </c>
    </row>
  </sheetData>
  <mergeCells count="14">
    <mergeCell ref="A143:E143"/>
    <mergeCell ref="A21:C21"/>
    <mergeCell ref="A30:C30"/>
    <mergeCell ref="A36:E36"/>
    <mergeCell ref="F36:G36"/>
    <mergeCell ref="A139:E139"/>
    <mergeCell ref="A195:E195"/>
    <mergeCell ref="A215:G215"/>
    <mergeCell ref="A163:G163"/>
    <mergeCell ref="A182:A183"/>
    <mergeCell ref="B182:D182"/>
    <mergeCell ref="E182:E183"/>
    <mergeCell ref="A184:E184"/>
    <mergeCell ref="A191:E191"/>
  </mergeCells>
  <printOptions horizontalCentered="1"/>
  <pageMargins left="0.75" right="0.75" top="1" bottom="1" header="0.5" footer="0.5"/>
  <pageSetup scale="99" fitToHeight="2" orientation="portrait" horizontalDpi="4294967292" verticalDpi="4294967292"/>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5B216-535C-8A40-ABC9-E6D5567C8BD4}">
  <sheetPr>
    <tabColor rgb="FF008000"/>
  </sheetPr>
  <dimension ref="A1:L219"/>
  <sheetViews>
    <sheetView topLeftCell="A44" workbookViewId="0">
      <selection activeCell="N28" sqref="N28"/>
    </sheetView>
  </sheetViews>
  <sheetFormatPr baseColWidth="10" defaultColWidth="11" defaultRowHeight="16" x14ac:dyDescent="0.2"/>
  <cols>
    <col min="1" max="1" width="29.5" customWidth="1"/>
    <col min="2" max="2" width="12.6640625" customWidth="1"/>
    <col min="3" max="3" width="11.1640625" customWidth="1"/>
    <col min="4" max="5" width="9.6640625" customWidth="1"/>
    <col min="6" max="6" width="4.5" customWidth="1"/>
    <col min="7" max="11" width="9.6640625" customWidth="1"/>
    <col min="14" max="14" width="12.6640625" customWidth="1"/>
    <col min="15" max="15" width="14" customWidth="1"/>
  </cols>
  <sheetData>
    <row r="1" spans="1:12" ht="21" x14ac:dyDescent="0.25">
      <c r="A1" s="10"/>
      <c r="B1" s="11"/>
      <c r="C1" s="12"/>
      <c r="D1" s="12"/>
      <c r="E1" s="12"/>
      <c r="F1" s="12"/>
      <c r="G1" s="13"/>
    </row>
    <row r="3" spans="1:12" x14ac:dyDescent="0.2">
      <c r="A3" s="14"/>
    </row>
    <row r="4" spans="1:12" ht="18" x14ac:dyDescent="0.2">
      <c r="A4" s="15" t="s">
        <v>287</v>
      </c>
    </row>
    <row r="6" spans="1:12" s="20" customFormat="1" x14ac:dyDescent="0.2">
      <c r="A6" s="18" t="s">
        <v>288</v>
      </c>
      <c r="B6" s="17">
        <v>1</v>
      </c>
      <c r="C6" s="18"/>
      <c r="D6" s="19"/>
      <c r="G6"/>
      <c r="H6"/>
      <c r="I6"/>
      <c r="J6"/>
      <c r="K6"/>
      <c r="L6"/>
    </row>
    <row r="7" spans="1:12" s="20" customFormat="1" x14ac:dyDescent="0.2">
      <c r="A7" s="18" t="s">
        <v>63</v>
      </c>
      <c r="B7" s="191">
        <v>0.9</v>
      </c>
      <c r="C7" s="18" t="s">
        <v>64</v>
      </c>
      <c r="D7" s="19"/>
      <c r="G7" s="66"/>
      <c r="H7"/>
      <c r="I7"/>
      <c r="J7"/>
      <c r="K7"/>
      <c r="L7"/>
    </row>
    <row r="8" spans="1:12" x14ac:dyDescent="0.2">
      <c r="A8" s="18" t="s">
        <v>65</v>
      </c>
      <c r="B8" s="22">
        <v>1020</v>
      </c>
      <c r="C8" t="s">
        <v>66</v>
      </c>
    </row>
    <row r="9" spans="1:12" x14ac:dyDescent="0.2">
      <c r="A9" s="18" t="s">
        <v>67</v>
      </c>
      <c r="B9" s="22">
        <v>24</v>
      </c>
    </row>
    <row r="10" spans="1:12" x14ac:dyDescent="0.2">
      <c r="A10" s="18" t="s">
        <v>68</v>
      </c>
      <c r="B10" s="17">
        <v>8760</v>
      </c>
    </row>
    <row r="11" spans="1:12" x14ac:dyDescent="0.2">
      <c r="A11" s="18" t="s">
        <v>130</v>
      </c>
      <c r="B11" s="23">
        <v>1</v>
      </c>
      <c r="G11" s="66"/>
      <c r="J11" s="66" t="s">
        <v>152</v>
      </c>
    </row>
    <row r="12" spans="1:12" ht="15.75" customHeight="1" x14ac:dyDescent="0.2">
      <c r="A12" s="18" t="s">
        <v>69</v>
      </c>
      <c r="B12" s="24">
        <f>B6*B7*B10*B11</f>
        <v>7884</v>
      </c>
      <c r="C12" t="s">
        <v>70</v>
      </c>
      <c r="D12" s="25"/>
    </row>
    <row r="13" spans="1:12" ht="15.75" customHeight="1" x14ac:dyDescent="0.2">
      <c r="A13" s="18" t="s">
        <v>69</v>
      </c>
      <c r="B13" s="24">
        <f>B12/B8</f>
        <v>7.7294117647058824</v>
      </c>
      <c r="C13" t="s">
        <v>71</v>
      </c>
      <c r="D13" s="25"/>
    </row>
    <row r="14" spans="1:12" x14ac:dyDescent="0.2">
      <c r="A14" s="18"/>
      <c r="B14" s="22"/>
    </row>
    <row r="15" spans="1:12" ht="15.75" customHeight="1" x14ac:dyDescent="0.2">
      <c r="A15" s="18"/>
      <c r="B15" s="24"/>
      <c r="D15" s="25"/>
    </row>
    <row r="16" spans="1:12" s="20" customFormat="1" x14ac:dyDescent="0.2">
      <c r="A16" s="16" t="s">
        <v>129</v>
      </c>
      <c r="B16" s="17"/>
      <c r="C16" s="18"/>
      <c r="D16" s="19"/>
    </row>
    <row r="17" spans="1:4" ht="15.75" customHeight="1" x14ac:dyDescent="0.2">
      <c r="A17" s="18" t="s">
        <v>72</v>
      </c>
      <c r="B17" s="24">
        <f>B12</f>
        <v>7884</v>
      </c>
      <c r="C17" t="s">
        <v>70</v>
      </c>
      <c r="D17" s="25"/>
    </row>
    <row r="18" spans="1:4" ht="15.75" customHeight="1" x14ac:dyDescent="0.2">
      <c r="A18" s="18" t="s">
        <v>72</v>
      </c>
      <c r="B18" s="24">
        <f>B13</f>
        <v>7.7294117647058824</v>
      </c>
      <c r="C18" t="s">
        <v>71</v>
      </c>
      <c r="D18" s="25"/>
    </row>
    <row r="19" spans="1:4" ht="15.75" customHeight="1" x14ac:dyDescent="0.2">
      <c r="A19" s="18" t="s">
        <v>73</v>
      </c>
      <c r="B19" s="27">
        <f>B6*B7/B8*B9</f>
        <v>2.1176470588235297E-2</v>
      </c>
      <c r="C19" t="s">
        <v>74</v>
      </c>
      <c r="D19" s="25"/>
    </row>
    <row r="20" spans="1:4" ht="15.75" customHeight="1" x14ac:dyDescent="0.2">
      <c r="A20" s="18"/>
      <c r="B20" s="27"/>
      <c r="D20" s="25"/>
    </row>
    <row r="21" spans="1:4" ht="15.75" customHeight="1" x14ac:dyDescent="0.2">
      <c r="A21" s="18"/>
      <c r="B21" s="27"/>
      <c r="D21" s="25"/>
    </row>
    <row r="22" spans="1:4" ht="15.75" customHeight="1" x14ac:dyDescent="0.2">
      <c r="A22" s="18"/>
      <c r="B22" s="24"/>
      <c r="D22" s="28"/>
    </row>
    <row r="23" spans="1:4" ht="18" customHeight="1" x14ac:dyDescent="0.2">
      <c r="A23" s="272" t="s">
        <v>75</v>
      </c>
      <c r="B23" s="272"/>
      <c r="C23" s="272"/>
    </row>
    <row r="24" spans="1:4" ht="47" customHeight="1" x14ac:dyDescent="0.2">
      <c r="A24" s="29" t="s">
        <v>76</v>
      </c>
      <c r="B24" s="30" t="s">
        <v>77</v>
      </c>
      <c r="C24" s="29" t="s">
        <v>131</v>
      </c>
    </row>
    <row r="25" spans="1:4" ht="15.75" customHeight="1" x14ac:dyDescent="0.2">
      <c r="A25" s="31" t="s">
        <v>78</v>
      </c>
      <c r="B25" s="31">
        <v>100</v>
      </c>
      <c r="C25" s="34">
        <f>B25*$B$18/2000</f>
        <v>0.38647058823529412</v>
      </c>
    </row>
    <row r="26" spans="1:4" ht="15.75" customHeight="1" x14ac:dyDescent="0.2">
      <c r="A26" s="31" t="s">
        <v>79</v>
      </c>
      <c r="B26" s="31">
        <v>84</v>
      </c>
      <c r="C26" s="34">
        <f>B26*$B$18/2000</f>
        <v>0.32463529411764702</v>
      </c>
    </row>
    <row r="27" spans="1:4" ht="15.75" customHeight="1" x14ac:dyDescent="0.2">
      <c r="A27" s="31" t="s">
        <v>80</v>
      </c>
      <c r="B27" s="31">
        <v>5.5</v>
      </c>
      <c r="C27" s="67">
        <f>B27*$B$18/2000</f>
        <v>2.1255882352941177E-2</v>
      </c>
    </row>
    <row r="28" spans="1:4" ht="15.75" customHeight="1" x14ac:dyDescent="0.2">
      <c r="A28" s="31" t="s">
        <v>81</v>
      </c>
      <c r="B28" s="31">
        <v>2.5</v>
      </c>
      <c r="C28" s="67">
        <f>B28*$B$18/2000</f>
        <v>9.6617647058823541E-3</v>
      </c>
    </row>
    <row r="29" spans="1:4" x14ac:dyDescent="0.2">
      <c r="A29" s="31" t="s">
        <v>82</v>
      </c>
      <c r="B29" s="31">
        <v>2.6</v>
      </c>
      <c r="C29" s="67">
        <f>B29*$B$18/2000</f>
        <v>1.0048235294117648E-2</v>
      </c>
    </row>
    <row r="30" spans="1:4" x14ac:dyDescent="0.2">
      <c r="A30" s="35" t="s">
        <v>83</v>
      </c>
      <c r="B30" s="36"/>
      <c r="C30" s="37"/>
    </row>
    <row r="31" spans="1:4" x14ac:dyDescent="0.2">
      <c r="A31" s="35"/>
      <c r="B31" s="71"/>
      <c r="C31" s="162"/>
    </row>
    <row r="32" spans="1:4" x14ac:dyDescent="0.2">
      <c r="A32" s="38"/>
      <c r="B32" s="38"/>
      <c r="C32" s="39"/>
    </row>
    <row r="33" spans="1:10" ht="18" customHeight="1" x14ac:dyDescent="0.2">
      <c r="A33" s="272" t="s">
        <v>84</v>
      </c>
      <c r="B33" s="272"/>
      <c r="C33" s="272"/>
    </row>
    <row r="34" spans="1:10" ht="49" customHeight="1" x14ac:dyDescent="0.2">
      <c r="A34" s="29" t="s">
        <v>76</v>
      </c>
      <c r="B34" s="30" t="s">
        <v>85</v>
      </c>
      <c r="C34" s="29" t="s">
        <v>131</v>
      </c>
    </row>
    <row r="35" spans="1:10" x14ac:dyDescent="0.2">
      <c r="A35" s="31" t="s">
        <v>86</v>
      </c>
      <c r="B35" s="31">
        <v>53.114800000000002</v>
      </c>
      <c r="C35" s="33">
        <f>(B35*B17/1000)*1.10231</f>
        <v>461.60012038219196</v>
      </c>
    </row>
    <row r="36" spans="1:10" x14ac:dyDescent="0.2">
      <c r="A36" s="35" t="s">
        <v>87</v>
      </c>
      <c r="B36" s="36"/>
      <c r="C36" s="37"/>
    </row>
    <row r="37" spans="1:10" x14ac:dyDescent="0.2">
      <c r="C37" s="26"/>
    </row>
    <row r="38" spans="1:10" x14ac:dyDescent="0.2">
      <c r="C38" s="26"/>
    </row>
    <row r="39" spans="1:10" ht="18" customHeight="1" x14ac:dyDescent="0.2">
      <c r="A39" s="273" t="s">
        <v>88</v>
      </c>
      <c r="B39" s="274"/>
      <c r="C39" s="274"/>
      <c r="D39" s="274"/>
      <c r="E39" s="275"/>
      <c r="F39" s="187"/>
      <c r="G39" s="276" t="s">
        <v>132</v>
      </c>
      <c r="H39" s="277"/>
    </row>
    <row r="40" spans="1:10" ht="52" customHeight="1" x14ac:dyDescent="0.4">
      <c r="A40" s="40" t="s">
        <v>76</v>
      </c>
      <c r="B40" s="40" t="s">
        <v>89</v>
      </c>
      <c r="C40" s="41" t="s">
        <v>77</v>
      </c>
      <c r="D40" s="69" t="s">
        <v>133</v>
      </c>
      <c r="E40" s="69" t="s">
        <v>134</v>
      </c>
      <c r="F40" s="186"/>
      <c r="G40" s="69" t="s">
        <v>133</v>
      </c>
      <c r="H40" s="69" t="s">
        <v>134</v>
      </c>
      <c r="J40" s="43"/>
    </row>
    <row r="41" spans="1:10" x14ac:dyDescent="0.2">
      <c r="A41" s="31" t="s">
        <v>13</v>
      </c>
      <c r="B41" s="31" t="s">
        <v>12</v>
      </c>
      <c r="C41" s="31">
        <v>8.0000000000000002E-3</v>
      </c>
      <c r="D41" s="44">
        <f t="shared" ref="D41:D67" si="0">C41*$B$19</f>
        <v>1.6941176470588237E-4</v>
      </c>
      <c r="E41" s="34">
        <f t="shared" ref="E41:E67" si="1">C41*$B$18</f>
        <v>6.1835294117647058E-2</v>
      </c>
      <c r="F41" s="34"/>
      <c r="G41" s="45">
        <f t="shared" ref="G41:H67" si="2">D41/$B$6</f>
        <v>1.6941176470588237E-4</v>
      </c>
      <c r="H41" s="45">
        <f t="shared" si="2"/>
        <v>6.1835294117647058E-2</v>
      </c>
      <c r="J41" t="s">
        <v>274</v>
      </c>
    </row>
    <row r="42" spans="1:10" x14ac:dyDescent="0.2">
      <c r="A42" s="31" t="s">
        <v>30</v>
      </c>
      <c r="B42" s="31" t="s">
        <v>29</v>
      </c>
      <c r="C42" s="31">
        <v>1.7000000000000001E-2</v>
      </c>
      <c r="D42" s="44">
        <f t="shared" si="0"/>
        <v>3.6000000000000008E-4</v>
      </c>
      <c r="E42" s="34">
        <f t="shared" si="1"/>
        <v>0.13140000000000002</v>
      </c>
      <c r="F42" s="34"/>
      <c r="G42" s="45">
        <f t="shared" si="2"/>
        <v>3.6000000000000008E-4</v>
      </c>
      <c r="H42" s="45">
        <f t="shared" si="2"/>
        <v>0.13140000000000002</v>
      </c>
      <c r="J42" t="s">
        <v>274</v>
      </c>
    </row>
    <row r="43" spans="1:10" ht="34" x14ac:dyDescent="0.2">
      <c r="A43" s="111" t="s">
        <v>48</v>
      </c>
      <c r="B43" s="31">
        <v>401</v>
      </c>
      <c r="C43" s="31">
        <v>1E-4</v>
      </c>
      <c r="D43" s="44">
        <f t="shared" si="0"/>
        <v>2.1176470588235296E-6</v>
      </c>
      <c r="E43" s="34">
        <f t="shared" si="1"/>
        <v>7.7294117647058833E-4</v>
      </c>
      <c r="F43" s="34"/>
      <c r="G43" s="45">
        <f t="shared" si="2"/>
        <v>2.1176470588235296E-6</v>
      </c>
      <c r="H43" s="45">
        <f t="shared" si="2"/>
        <v>7.7294117647058833E-4</v>
      </c>
      <c r="J43" t="s">
        <v>274</v>
      </c>
    </row>
    <row r="44" spans="1:10" x14ac:dyDescent="0.2">
      <c r="A44" s="31" t="s">
        <v>15</v>
      </c>
      <c r="B44" s="31" t="s">
        <v>14</v>
      </c>
      <c r="C44" s="31">
        <v>1.1999999999999999E-6</v>
      </c>
      <c r="D44" s="44">
        <f t="shared" si="0"/>
        <v>2.5411764705882355E-8</v>
      </c>
      <c r="E44" s="34">
        <f t="shared" si="1"/>
        <v>9.2752941176470583E-6</v>
      </c>
      <c r="F44" s="34"/>
      <c r="G44" s="45">
        <f t="shared" si="2"/>
        <v>2.5411764705882355E-8</v>
      </c>
      <c r="H44" s="45">
        <f t="shared" si="2"/>
        <v>9.2752941176470583E-6</v>
      </c>
      <c r="J44" t="s">
        <v>274</v>
      </c>
    </row>
    <row r="45" spans="1:10" x14ac:dyDescent="0.2">
      <c r="A45" s="31" t="s">
        <v>43</v>
      </c>
      <c r="B45" s="31" t="s">
        <v>42</v>
      </c>
      <c r="C45" s="31">
        <v>2.9999999999999997E-4</v>
      </c>
      <c r="D45" s="44">
        <f t="shared" si="0"/>
        <v>6.3529411764705887E-6</v>
      </c>
      <c r="E45" s="34">
        <f t="shared" si="1"/>
        <v>2.3188235294117647E-3</v>
      </c>
      <c r="F45" s="34"/>
      <c r="G45" s="45">
        <f t="shared" si="2"/>
        <v>6.3529411764705887E-6</v>
      </c>
      <c r="H45" s="45">
        <f t="shared" si="2"/>
        <v>2.3188235294117647E-3</v>
      </c>
      <c r="J45" t="s">
        <v>274</v>
      </c>
    </row>
    <row r="46" spans="1:10" x14ac:dyDescent="0.2">
      <c r="A46" s="31" t="s">
        <v>2</v>
      </c>
      <c r="B46" s="31" t="s">
        <v>1</v>
      </c>
      <c r="C46" s="31">
        <v>4.3E-3</v>
      </c>
      <c r="D46" s="44">
        <f t="shared" si="0"/>
        <v>9.1058823529411773E-5</v>
      </c>
      <c r="E46" s="34">
        <f t="shared" si="1"/>
        <v>3.3236470588235298E-2</v>
      </c>
      <c r="F46" s="34"/>
      <c r="G46" s="45">
        <f t="shared" si="2"/>
        <v>9.1058823529411773E-5</v>
      </c>
      <c r="H46" s="45">
        <f t="shared" si="2"/>
        <v>3.3236470588235298E-2</v>
      </c>
      <c r="J46" t="s">
        <v>274</v>
      </c>
    </row>
    <row r="47" spans="1:10" x14ac:dyDescent="0.2">
      <c r="A47" s="31" t="s">
        <v>4</v>
      </c>
      <c r="B47" s="31" t="s">
        <v>3</v>
      </c>
      <c r="C47" s="31">
        <v>2.7000000000000001E-3</v>
      </c>
      <c r="D47" s="44">
        <f t="shared" si="0"/>
        <v>5.7176470588235307E-5</v>
      </c>
      <c r="E47" s="34">
        <f t="shared" si="1"/>
        <v>2.0869411764705883E-2</v>
      </c>
      <c r="F47" s="34"/>
      <c r="G47" s="45">
        <f t="shared" si="2"/>
        <v>5.7176470588235307E-5</v>
      </c>
      <c r="H47" s="45">
        <f t="shared" si="2"/>
        <v>2.0869411764705883E-2</v>
      </c>
      <c r="J47" t="s">
        <v>274</v>
      </c>
    </row>
    <row r="48" spans="1:10" x14ac:dyDescent="0.2">
      <c r="A48" s="31" t="s">
        <v>7</v>
      </c>
      <c r="B48" s="31" t="s">
        <v>6</v>
      </c>
      <c r="C48" s="31">
        <v>3.2</v>
      </c>
      <c r="D48" s="44">
        <f t="shared" si="0"/>
        <v>6.7764705882352949E-2</v>
      </c>
      <c r="E48" s="34">
        <f t="shared" si="1"/>
        <v>24.734117647058824</v>
      </c>
      <c r="F48" s="34"/>
      <c r="G48" s="45">
        <f t="shared" si="2"/>
        <v>6.7764705882352949E-2</v>
      </c>
      <c r="H48" s="45">
        <f t="shared" si="2"/>
        <v>24.734117647058824</v>
      </c>
    </row>
    <row r="49" spans="1:10" x14ac:dyDescent="0.2">
      <c r="A49" s="31" t="s">
        <v>9</v>
      </c>
      <c r="B49" s="31" t="s">
        <v>8</v>
      </c>
      <c r="C49" s="31">
        <v>2.0000000000000001E-4</v>
      </c>
      <c r="D49" s="44">
        <f t="shared" si="0"/>
        <v>4.2352941176470591E-6</v>
      </c>
      <c r="E49" s="34">
        <f t="shared" si="1"/>
        <v>1.5458823529411767E-3</v>
      </c>
      <c r="F49" s="34"/>
      <c r="G49" s="45">
        <f t="shared" si="2"/>
        <v>4.2352941176470591E-6</v>
      </c>
      <c r="H49" s="45">
        <f t="shared" si="2"/>
        <v>1.5458823529411767E-3</v>
      </c>
      <c r="J49" t="s">
        <v>274</v>
      </c>
    </row>
    <row r="50" spans="1:10" x14ac:dyDescent="0.2">
      <c r="A50" s="31" t="s">
        <v>11</v>
      </c>
      <c r="B50" s="31" t="s">
        <v>10</v>
      </c>
      <c r="C50" s="31">
        <v>4.4000000000000003E-3</v>
      </c>
      <c r="D50" s="44">
        <f t="shared" si="0"/>
        <v>9.3176470588235308E-5</v>
      </c>
      <c r="E50" s="34">
        <f t="shared" si="1"/>
        <v>3.4009411764705885E-2</v>
      </c>
      <c r="F50" s="34"/>
      <c r="G50" s="45">
        <f t="shared" si="2"/>
        <v>9.3176470588235308E-5</v>
      </c>
      <c r="H50" s="45">
        <f t="shared" si="2"/>
        <v>3.4009411764705885E-2</v>
      </c>
    </row>
    <row r="51" spans="1:10" x14ac:dyDescent="0.2">
      <c r="A51" s="31" t="s">
        <v>17</v>
      </c>
      <c r="B51" s="31" t="s">
        <v>16</v>
      </c>
      <c r="C51" s="31">
        <v>1.2E-5</v>
      </c>
      <c r="D51" s="44">
        <f t="shared" si="0"/>
        <v>2.5411764705882357E-7</v>
      </c>
      <c r="E51" s="34">
        <f t="shared" si="1"/>
        <v>9.275294117647059E-5</v>
      </c>
      <c r="F51" s="34"/>
      <c r="G51" s="45">
        <f t="shared" si="2"/>
        <v>2.5411764705882357E-7</v>
      </c>
      <c r="H51" s="45">
        <f t="shared" si="2"/>
        <v>9.275294117647059E-5</v>
      </c>
      <c r="J51" t="s">
        <v>274</v>
      </c>
    </row>
    <row r="52" spans="1:10" ht="17" x14ac:dyDescent="0.2">
      <c r="A52" s="31" t="s">
        <v>19</v>
      </c>
      <c r="B52" s="46" t="s">
        <v>18</v>
      </c>
      <c r="C52" s="31">
        <v>1.1000000000000001E-3</v>
      </c>
      <c r="D52" s="44">
        <f t="shared" si="0"/>
        <v>2.3294117647058827E-5</v>
      </c>
      <c r="E52" s="34">
        <f t="shared" si="1"/>
        <v>8.5023529411764713E-3</v>
      </c>
      <c r="F52" s="34"/>
      <c r="G52" s="45">
        <f t="shared" si="2"/>
        <v>2.3294117647058827E-5</v>
      </c>
      <c r="H52" s="45">
        <f t="shared" si="2"/>
        <v>8.5023529411764713E-3</v>
      </c>
      <c r="J52" t="s">
        <v>274</v>
      </c>
    </row>
    <row r="53" spans="1:10" ht="34" x14ac:dyDescent="0.2">
      <c r="A53" s="111" t="s">
        <v>21</v>
      </c>
      <c r="B53" s="31" t="s">
        <v>20</v>
      </c>
      <c r="C53" s="31">
        <v>1.4E-3</v>
      </c>
      <c r="D53" s="44">
        <f t="shared" si="0"/>
        <v>2.9647058823529414E-5</v>
      </c>
      <c r="E53" s="34">
        <f t="shared" si="1"/>
        <v>1.0821176470588235E-2</v>
      </c>
      <c r="F53" s="34"/>
      <c r="G53" s="45">
        <f t="shared" si="2"/>
        <v>2.9647058823529414E-5</v>
      </c>
      <c r="H53" s="45">
        <f t="shared" si="2"/>
        <v>1.0821176470588235E-2</v>
      </c>
      <c r="J53" t="s">
        <v>274</v>
      </c>
    </row>
    <row r="54" spans="1:10" x14ac:dyDescent="0.2">
      <c r="A54" s="31" t="s">
        <v>23</v>
      </c>
      <c r="B54" s="31" t="s">
        <v>22</v>
      </c>
      <c r="C54" s="31">
        <v>8.3999999999999995E-5</v>
      </c>
      <c r="D54" s="44">
        <f t="shared" si="0"/>
        <v>1.7788235294117649E-6</v>
      </c>
      <c r="E54" s="34">
        <f t="shared" si="1"/>
        <v>6.492705882352941E-4</v>
      </c>
      <c r="F54" s="34"/>
      <c r="G54" s="45">
        <f t="shared" si="2"/>
        <v>1.7788235294117649E-6</v>
      </c>
      <c r="H54" s="45">
        <f t="shared" si="2"/>
        <v>6.492705882352941E-4</v>
      </c>
      <c r="J54" t="s">
        <v>274</v>
      </c>
    </row>
    <row r="55" spans="1:10" x14ac:dyDescent="0.2">
      <c r="A55" s="31" t="s">
        <v>25</v>
      </c>
      <c r="B55" s="31" t="s">
        <v>24</v>
      </c>
      <c r="C55" s="31">
        <v>8.4999999999999995E-4</v>
      </c>
      <c r="D55" s="44">
        <f t="shared" si="0"/>
        <v>1.8E-5</v>
      </c>
      <c r="E55" s="34">
        <f t="shared" si="1"/>
        <v>6.5699999999999995E-3</v>
      </c>
      <c r="F55" s="34"/>
      <c r="G55" s="45">
        <f t="shared" si="2"/>
        <v>1.8E-5</v>
      </c>
      <c r="H55" s="45">
        <f t="shared" si="2"/>
        <v>6.5699999999999995E-3</v>
      </c>
    </row>
    <row r="56" spans="1:10" x14ac:dyDescent="0.2">
      <c r="A56" s="31" t="s">
        <v>27</v>
      </c>
      <c r="B56" s="31" t="s">
        <v>26</v>
      </c>
      <c r="C56" s="31">
        <v>9.4999999999999998E-3</v>
      </c>
      <c r="D56" s="44">
        <f t="shared" si="0"/>
        <v>2.011764705882353E-4</v>
      </c>
      <c r="E56" s="34">
        <f t="shared" si="1"/>
        <v>7.3429411764705882E-2</v>
      </c>
      <c r="F56" s="34"/>
      <c r="G56" s="45">
        <f t="shared" si="2"/>
        <v>2.011764705882353E-4</v>
      </c>
      <c r="H56" s="45">
        <f t="shared" si="2"/>
        <v>7.3429411764705882E-2</v>
      </c>
      <c r="J56" t="s">
        <v>274</v>
      </c>
    </row>
    <row r="57" spans="1:10" x14ac:dyDescent="0.2">
      <c r="A57" s="31" t="s">
        <v>32</v>
      </c>
      <c r="B57" s="31" t="s">
        <v>31</v>
      </c>
      <c r="C57" s="31">
        <v>6.3E-3</v>
      </c>
      <c r="D57" s="44">
        <f t="shared" si="0"/>
        <v>1.3341176470588236E-4</v>
      </c>
      <c r="E57" s="34">
        <f t="shared" si="1"/>
        <v>4.8695294117647059E-2</v>
      </c>
      <c r="F57" s="34"/>
      <c r="G57" s="45">
        <f t="shared" si="2"/>
        <v>1.3341176470588236E-4</v>
      </c>
      <c r="H57" s="45">
        <f t="shared" si="2"/>
        <v>4.8695294117647059E-2</v>
      </c>
      <c r="J57" t="s">
        <v>274</v>
      </c>
    </row>
    <row r="58" spans="1:10" x14ac:dyDescent="0.2">
      <c r="A58" s="31" t="s">
        <v>35</v>
      </c>
      <c r="B58" s="31" t="s">
        <v>34</v>
      </c>
      <c r="C58" s="31">
        <v>5.0000000000000001E-4</v>
      </c>
      <c r="D58" s="44">
        <f t="shared" si="0"/>
        <v>1.0588235294117648E-5</v>
      </c>
      <c r="E58" s="34">
        <f t="shared" si="1"/>
        <v>3.8647058823529411E-3</v>
      </c>
      <c r="F58" s="34"/>
      <c r="G58" s="45">
        <f t="shared" si="2"/>
        <v>1.0588235294117648E-5</v>
      </c>
      <c r="H58" s="45">
        <f t="shared" si="2"/>
        <v>3.8647058823529411E-3</v>
      </c>
      <c r="J58" t="s">
        <v>274</v>
      </c>
    </row>
    <row r="59" spans="1:10" x14ac:dyDescent="0.2">
      <c r="A59" s="31" t="s">
        <v>37</v>
      </c>
      <c r="B59" s="31" t="s">
        <v>36</v>
      </c>
      <c r="C59" s="31">
        <v>3.8000000000000002E-4</v>
      </c>
      <c r="D59" s="44">
        <f t="shared" si="0"/>
        <v>8.0470588235294123E-6</v>
      </c>
      <c r="E59" s="34">
        <f t="shared" si="1"/>
        <v>2.9371764705882356E-3</v>
      </c>
      <c r="F59" s="34"/>
      <c r="G59" s="45">
        <f t="shared" si="2"/>
        <v>8.0470588235294123E-6</v>
      </c>
      <c r="H59" s="45">
        <f t="shared" si="2"/>
        <v>2.9371764705882356E-3</v>
      </c>
      <c r="J59" t="s">
        <v>274</v>
      </c>
    </row>
    <row r="60" spans="1:10" x14ac:dyDescent="0.2">
      <c r="A60" s="31" t="s">
        <v>39</v>
      </c>
      <c r="B60" s="31" t="s">
        <v>38</v>
      </c>
      <c r="C60" s="31">
        <v>2.5999999999999998E-4</v>
      </c>
      <c r="D60" s="44">
        <f t="shared" si="0"/>
        <v>5.5058823529411769E-6</v>
      </c>
      <c r="E60" s="34">
        <f t="shared" si="1"/>
        <v>2.0096470588235292E-3</v>
      </c>
      <c r="F60" s="34"/>
      <c r="G60" s="45">
        <f t="shared" si="2"/>
        <v>5.5058823529411769E-6</v>
      </c>
      <c r="H60" s="45">
        <f t="shared" si="2"/>
        <v>2.0096470588235292E-3</v>
      </c>
      <c r="J60" t="s">
        <v>274</v>
      </c>
    </row>
    <row r="61" spans="1:10" x14ac:dyDescent="0.2">
      <c r="A61" s="31" t="s">
        <v>41</v>
      </c>
      <c r="B61" s="31" t="s">
        <v>40</v>
      </c>
      <c r="C61" s="31">
        <v>1.65E-3</v>
      </c>
      <c r="D61" s="44">
        <f t="shared" si="0"/>
        <v>3.494117647058824E-5</v>
      </c>
      <c r="E61" s="34">
        <f t="shared" si="1"/>
        <v>1.2753529411764705E-2</v>
      </c>
      <c r="F61" s="34"/>
      <c r="G61" s="45">
        <f t="shared" si="2"/>
        <v>3.494117647058824E-5</v>
      </c>
      <c r="H61" s="45">
        <f t="shared" si="2"/>
        <v>1.2753529411764705E-2</v>
      </c>
    </row>
    <row r="62" spans="1:10" x14ac:dyDescent="0.2">
      <c r="A62" s="31" t="s">
        <v>45</v>
      </c>
      <c r="B62" s="31">
        <v>365</v>
      </c>
      <c r="C62" s="31">
        <v>2.0999999999999999E-3</v>
      </c>
      <c r="D62" s="44">
        <f t="shared" si="0"/>
        <v>4.4470588235294119E-5</v>
      </c>
      <c r="E62" s="34">
        <f t="shared" si="1"/>
        <v>1.6231764705882352E-2</v>
      </c>
      <c r="F62" s="34"/>
      <c r="G62" s="45">
        <f t="shared" si="2"/>
        <v>4.4470588235294119E-5</v>
      </c>
      <c r="H62" s="45">
        <f t="shared" si="2"/>
        <v>1.6231764705882352E-2</v>
      </c>
      <c r="J62" t="s">
        <v>274</v>
      </c>
    </row>
    <row r="63" spans="1:10" x14ac:dyDescent="0.2">
      <c r="A63" s="31" t="s">
        <v>52</v>
      </c>
      <c r="B63" s="31" t="s">
        <v>51</v>
      </c>
      <c r="C63" s="31">
        <v>2.4000000000000001E-5</v>
      </c>
      <c r="D63" s="44">
        <f t="shared" si="0"/>
        <v>5.0823529411764714E-7</v>
      </c>
      <c r="E63" s="34">
        <f t="shared" si="1"/>
        <v>1.8550588235294118E-4</v>
      </c>
      <c r="F63" s="34"/>
      <c r="G63" s="45">
        <f t="shared" si="2"/>
        <v>5.0823529411764714E-7</v>
      </c>
      <c r="H63" s="45">
        <f t="shared" si="2"/>
        <v>1.8550588235294118E-4</v>
      </c>
      <c r="J63" t="s">
        <v>274</v>
      </c>
    </row>
    <row r="64" spans="1:10" x14ac:dyDescent="0.2">
      <c r="A64" s="31" t="s">
        <v>54</v>
      </c>
      <c r="B64" s="31" t="s">
        <v>53</v>
      </c>
      <c r="C64" s="31">
        <v>3.6600000000000001E-2</v>
      </c>
      <c r="D64" s="44">
        <f t="shared" si="0"/>
        <v>7.7505882352941189E-4</v>
      </c>
      <c r="E64" s="34">
        <f t="shared" si="1"/>
        <v>0.2828964705882353</v>
      </c>
      <c r="F64" s="34"/>
      <c r="G64" s="45">
        <f t="shared" si="2"/>
        <v>7.7505882352941189E-4</v>
      </c>
      <c r="H64" s="45">
        <f t="shared" si="2"/>
        <v>0.2828964705882353</v>
      </c>
      <c r="J64" t="s">
        <v>274</v>
      </c>
    </row>
    <row r="65" spans="1:11" x14ac:dyDescent="0.2">
      <c r="A65" s="31" t="s">
        <v>56</v>
      </c>
      <c r="B65" s="31" t="s">
        <v>55</v>
      </c>
      <c r="C65" s="31">
        <v>2.3E-3</v>
      </c>
      <c r="D65" s="44">
        <f t="shared" si="0"/>
        <v>4.8705882352941182E-5</v>
      </c>
      <c r="E65" s="34">
        <f t="shared" si="1"/>
        <v>1.777764705882353E-2</v>
      </c>
      <c r="F65" s="34"/>
      <c r="G65" s="45">
        <f t="shared" si="2"/>
        <v>4.8705882352941182E-5</v>
      </c>
      <c r="H65" s="45">
        <f t="shared" si="2"/>
        <v>1.777764705882353E-2</v>
      </c>
    </row>
    <row r="66" spans="1:11" ht="34" x14ac:dyDescent="0.2">
      <c r="A66" s="111" t="s">
        <v>58</v>
      </c>
      <c r="B66" s="31" t="s">
        <v>57</v>
      </c>
      <c r="C66" s="31">
        <v>2.7199999999999998E-2</v>
      </c>
      <c r="D66" s="44">
        <f t="shared" si="0"/>
        <v>5.7600000000000001E-4</v>
      </c>
      <c r="E66" s="34">
        <f t="shared" si="1"/>
        <v>0.21023999999999998</v>
      </c>
      <c r="F66" s="34"/>
      <c r="G66" s="45">
        <f t="shared" si="2"/>
        <v>5.7600000000000001E-4</v>
      </c>
      <c r="H66" s="45">
        <f t="shared" si="2"/>
        <v>0.21023999999999998</v>
      </c>
      <c r="J66" t="s">
        <v>274</v>
      </c>
    </row>
    <row r="67" spans="1:11" x14ac:dyDescent="0.2">
      <c r="A67" s="31" t="s">
        <v>60</v>
      </c>
      <c r="B67" s="31" t="s">
        <v>59</v>
      </c>
      <c r="C67" s="31">
        <v>2.9000000000000001E-2</v>
      </c>
      <c r="D67" s="44">
        <f t="shared" si="0"/>
        <v>6.1411764705882358E-4</v>
      </c>
      <c r="E67" s="34">
        <f t="shared" si="1"/>
        <v>0.22415294117647061</v>
      </c>
      <c r="F67" s="34"/>
      <c r="G67" s="45">
        <f t="shared" si="2"/>
        <v>6.1411764705882358E-4</v>
      </c>
      <c r="H67" s="45">
        <f t="shared" si="2"/>
        <v>0.22415294117647061</v>
      </c>
    </row>
    <row r="68" spans="1:11" x14ac:dyDescent="0.2">
      <c r="A68" s="31" t="s">
        <v>90</v>
      </c>
      <c r="B68" s="31"/>
      <c r="C68" s="31"/>
      <c r="D68" s="47">
        <f>SUM(D41:D67)</f>
        <v>7.1073766588235276E-2</v>
      </c>
      <c r="E68" s="47">
        <f>SUM(E41:E67)</f>
        <v>25.941924804705881</v>
      </c>
      <c r="F68" s="47"/>
      <c r="G68" s="47">
        <f>SUM(G41:G67)</f>
        <v>7.1073766588235276E-2</v>
      </c>
      <c r="H68" s="47">
        <f>SUM(H41:H67)</f>
        <v>25.941924804705881</v>
      </c>
      <c r="J68" s="53">
        <f>H68-H48-H50-H55-H61-H65-H67</f>
        <v>0.91254362823529234</v>
      </c>
      <c r="K68" s="48" t="s">
        <v>113</v>
      </c>
    </row>
    <row r="142" spans="1:7" x14ac:dyDescent="0.2">
      <c r="A142" s="281" t="s">
        <v>91</v>
      </c>
      <c r="B142" s="282"/>
      <c r="C142" s="282"/>
      <c r="D142" s="282"/>
      <c r="E142" s="283"/>
      <c r="F142" s="188"/>
    </row>
    <row r="143" spans="1:7" x14ac:dyDescent="0.2">
      <c r="A143" s="48" t="s">
        <v>92</v>
      </c>
      <c r="B143" s="49">
        <v>1.04E-5</v>
      </c>
      <c r="C143" s="68" t="s">
        <v>93</v>
      </c>
      <c r="D143" s="51" t="s">
        <v>94</v>
      </c>
      <c r="E143" s="52" t="e">
        <f>B143*#REF!</f>
        <v>#REF!</v>
      </c>
      <c r="F143" s="194"/>
      <c r="G143" t="s">
        <v>95</v>
      </c>
    </row>
    <row r="144" spans="1:7" x14ac:dyDescent="0.2">
      <c r="A144" s="48" t="s">
        <v>96</v>
      </c>
      <c r="B144" s="49">
        <v>1.0206E-2</v>
      </c>
      <c r="C144" s="68" t="s">
        <v>93</v>
      </c>
      <c r="D144" s="51" t="s">
        <v>94</v>
      </c>
      <c r="E144" s="52" t="e">
        <f>B144*#REF!</f>
        <v>#REF!</v>
      </c>
      <c r="F144" s="194"/>
      <c r="G144" t="s">
        <v>95</v>
      </c>
    </row>
    <row r="145" spans="1:9" x14ac:dyDescent="0.2">
      <c r="A145" s="48" t="s">
        <v>97</v>
      </c>
      <c r="B145" s="49">
        <v>2.4700000000000001E-5</v>
      </c>
      <c r="C145" s="68" t="s">
        <v>93</v>
      </c>
      <c r="D145" s="51" t="s">
        <v>94</v>
      </c>
      <c r="E145" s="53" t="e">
        <f>B145*#REF!</f>
        <v>#REF!</v>
      </c>
      <c r="F145" s="195"/>
      <c r="G145" t="s">
        <v>95</v>
      </c>
      <c r="H145" s="24" t="e">
        <f>SUM(E143:E145)</f>
        <v>#REF!</v>
      </c>
      <c r="I145" t="s">
        <v>95</v>
      </c>
    </row>
    <row r="146" spans="1:9" x14ac:dyDescent="0.2">
      <c r="A146" s="281" t="s">
        <v>98</v>
      </c>
      <c r="B146" s="282"/>
      <c r="C146" s="282"/>
      <c r="D146" s="282"/>
      <c r="E146" s="283"/>
      <c r="F146" s="188"/>
      <c r="H146" t="e">
        <f>H145*1.10231</f>
        <v>#REF!</v>
      </c>
      <c r="I146" t="s">
        <v>99</v>
      </c>
    </row>
    <row r="147" spans="1:9" x14ac:dyDescent="0.2">
      <c r="A147" s="48" t="s">
        <v>13</v>
      </c>
      <c r="B147" s="49">
        <v>7.76E-4</v>
      </c>
      <c r="C147" s="68" t="s">
        <v>100</v>
      </c>
      <c r="D147" s="51" t="s">
        <v>101</v>
      </c>
      <c r="E147" s="54" t="e">
        <f>B147*#REF!*#REF!/1000000/2000</f>
        <v>#REF!</v>
      </c>
      <c r="F147" s="180"/>
    </row>
    <row r="148" spans="1:9" x14ac:dyDescent="0.2">
      <c r="A148" s="48" t="s">
        <v>54</v>
      </c>
      <c r="B148" s="49">
        <v>2.81E-4</v>
      </c>
      <c r="C148" s="68" t="s">
        <v>100</v>
      </c>
      <c r="D148" s="51" t="s">
        <v>101</v>
      </c>
      <c r="E148" s="55" t="e">
        <f>B148*#REF!*#REF!/1000000/2000</f>
        <v>#REF!</v>
      </c>
      <c r="F148" s="123"/>
      <c r="H148">
        <v>2490</v>
      </c>
    </row>
    <row r="149" spans="1:9" x14ac:dyDescent="0.2">
      <c r="A149" s="48" t="s">
        <v>102</v>
      </c>
      <c r="B149" s="49">
        <v>1.93E-4</v>
      </c>
      <c r="C149" s="68" t="s">
        <v>100</v>
      </c>
      <c r="D149" s="51" t="s">
        <v>101</v>
      </c>
      <c r="E149" s="55" t="e">
        <f>B149*#REF!*#REF!/1000000/2000</f>
        <v>#REF!</v>
      </c>
      <c r="F149" s="123"/>
      <c r="H149">
        <f>H148*1.10231</f>
        <v>2744.7518999999998</v>
      </c>
      <c r="I149" t="s">
        <v>99</v>
      </c>
    </row>
    <row r="150" spans="1:9" x14ac:dyDescent="0.2">
      <c r="A150" s="48" t="s">
        <v>30</v>
      </c>
      <c r="B150" s="49">
        <v>7.8899999999999993E-5</v>
      </c>
      <c r="C150" s="68" t="s">
        <v>100</v>
      </c>
      <c r="D150" s="51" t="s">
        <v>101</v>
      </c>
      <c r="E150" s="55" t="e">
        <f>B150*#REF!*#REF!/1000000/2000</f>
        <v>#REF!</v>
      </c>
      <c r="F150" s="123"/>
    </row>
    <row r="151" spans="1:9" x14ac:dyDescent="0.2">
      <c r="A151" s="48" t="s">
        <v>2</v>
      </c>
      <c r="B151" s="49">
        <v>2.5199999999999999E-5</v>
      </c>
      <c r="C151" s="68" t="s">
        <v>100</v>
      </c>
      <c r="D151" s="51" t="s">
        <v>101</v>
      </c>
      <c r="E151" s="56" t="e">
        <f>B151*#REF!*#REF!/1000000/2000</f>
        <v>#REF!</v>
      </c>
      <c r="F151" s="124"/>
    </row>
    <row r="152" spans="1:9" x14ac:dyDescent="0.2">
      <c r="A152" s="48" t="s">
        <v>4</v>
      </c>
      <c r="B152" s="49">
        <v>7.8800000000000008E-6</v>
      </c>
      <c r="C152" s="68" t="s">
        <v>100</v>
      </c>
      <c r="D152" s="51" t="s">
        <v>101</v>
      </c>
      <c r="E152" s="56" t="e">
        <f>B152*#REF!*#REF!/1000000/2000</f>
        <v>#REF!</v>
      </c>
      <c r="F152" s="124"/>
    </row>
    <row r="153" spans="1:9" x14ac:dyDescent="0.2">
      <c r="A153" s="48" t="s">
        <v>103</v>
      </c>
      <c r="B153" s="49">
        <v>1.2999999999999999E-4</v>
      </c>
      <c r="C153" s="68" t="s">
        <v>100</v>
      </c>
      <c r="D153" s="51" t="s">
        <v>101</v>
      </c>
      <c r="E153" s="55" t="e">
        <f>B153*#REF!*#REF!/1000000/2000</f>
        <v>#REF!</v>
      </c>
      <c r="F153" s="123"/>
    </row>
    <row r="154" spans="1:9" x14ac:dyDescent="0.2">
      <c r="A154" s="48" t="s">
        <v>104</v>
      </c>
      <c r="B154" s="49">
        <v>2.12E-4</v>
      </c>
      <c r="C154" s="68" t="s">
        <v>100</v>
      </c>
      <c r="D154" s="51" t="s">
        <v>101</v>
      </c>
      <c r="E154" s="55" t="e">
        <f>B154*#REF!*#REF!/1000000/2000</f>
        <v>#REF!</v>
      </c>
      <c r="F154" s="123"/>
    </row>
    <row r="155" spans="1:9" x14ac:dyDescent="0.2">
      <c r="A155" s="48" t="s">
        <v>105</v>
      </c>
      <c r="B155" s="49"/>
      <c r="C155" s="68"/>
      <c r="D155" s="48"/>
      <c r="E155" s="54" t="e">
        <f>SUM(E147:E154)</f>
        <v>#REF!</v>
      </c>
      <c r="F155" s="180"/>
    </row>
    <row r="156" spans="1:9" x14ac:dyDescent="0.2">
      <c r="B156" s="57"/>
      <c r="C156" s="3"/>
      <c r="E156" s="24"/>
      <c r="F156" s="24"/>
    </row>
    <row r="157" spans="1:9" x14ac:dyDescent="0.2">
      <c r="A157" t="s">
        <v>106</v>
      </c>
      <c r="B157" s="57"/>
      <c r="C157" s="3"/>
      <c r="E157" s="24"/>
      <c r="F157" s="24"/>
    </row>
    <row r="158" spans="1:9" x14ac:dyDescent="0.2">
      <c r="A158" t="s">
        <v>107</v>
      </c>
      <c r="B158" s="57"/>
      <c r="C158" s="3"/>
      <c r="E158" s="24"/>
      <c r="F158" s="24"/>
    </row>
    <row r="159" spans="1:9" x14ac:dyDescent="0.2">
      <c r="A159" t="s">
        <v>108</v>
      </c>
      <c r="B159" s="57"/>
      <c r="C159" s="3"/>
      <c r="E159" s="24"/>
      <c r="F159" s="24"/>
    </row>
    <row r="160" spans="1:9" x14ac:dyDescent="0.2">
      <c r="A160" t="s">
        <v>109</v>
      </c>
      <c r="B160" s="57"/>
      <c r="C160" s="3"/>
      <c r="E160" s="24"/>
      <c r="F160" s="24"/>
    </row>
    <row r="161" spans="1:8" x14ac:dyDescent="0.2">
      <c r="A161" t="s">
        <v>110</v>
      </c>
      <c r="B161" s="57"/>
      <c r="C161" s="3"/>
      <c r="E161" s="24"/>
      <c r="F161" s="24"/>
    </row>
    <row r="163" spans="1:8" x14ac:dyDescent="0.2">
      <c r="A163" s="58" t="s">
        <v>111</v>
      </c>
    </row>
    <row r="165" spans="1:8" x14ac:dyDescent="0.2">
      <c r="A165" s="68" t="s">
        <v>78</v>
      </c>
      <c r="B165" s="68" t="s">
        <v>79</v>
      </c>
      <c r="C165" s="68" t="s">
        <v>80</v>
      </c>
      <c r="D165" s="68" t="s">
        <v>81</v>
      </c>
      <c r="E165" s="68" t="s">
        <v>82</v>
      </c>
      <c r="F165" s="59"/>
      <c r="G165" s="59" t="s">
        <v>112</v>
      </c>
      <c r="H165" s="68" t="s">
        <v>113</v>
      </c>
    </row>
    <row r="166" spans="1:8" x14ac:dyDescent="0.2">
      <c r="A166" s="270" t="s">
        <v>62</v>
      </c>
      <c r="B166" s="284"/>
      <c r="C166" s="284"/>
      <c r="D166" s="284"/>
      <c r="E166" s="284"/>
      <c r="F166" s="284"/>
      <c r="G166" s="284"/>
      <c r="H166" s="271"/>
    </row>
    <row r="167" spans="1:8" x14ac:dyDescent="0.2">
      <c r="A167" s="60" t="e">
        <f>#REF!</f>
        <v>#REF!</v>
      </c>
      <c r="B167" s="60" t="e">
        <f>#REF!</f>
        <v>#REF!</v>
      </c>
      <c r="C167" s="60" t="e">
        <f>#REF!</f>
        <v>#REF!</v>
      </c>
      <c r="D167" s="61" t="e">
        <f>#REF!</f>
        <v>#REF!</v>
      </c>
      <c r="E167" s="61" t="e">
        <f>#REF!</f>
        <v>#REF!</v>
      </c>
      <c r="F167" s="61"/>
      <c r="G167" s="60" t="e">
        <f>SUM(E143:E145)</f>
        <v>#REF!</v>
      </c>
      <c r="H167" s="54" t="e">
        <f>E155</f>
        <v>#REF!</v>
      </c>
    </row>
    <row r="171" spans="1:8" ht="24" x14ac:dyDescent="0.3">
      <c r="A171" s="62"/>
      <c r="C171" s="12"/>
      <c r="D171" s="12"/>
      <c r="E171" s="12"/>
      <c r="F171" s="12"/>
      <c r="G171" s="13"/>
    </row>
    <row r="172" spans="1:8" ht="24" x14ac:dyDescent="0.3">
      <c r="A172" s="62"/>
      <c r="C172" s="12"/>
      <c r="D172" s="12"/>
      <c r="E172" s="12"/>
      <c r="F172" s="12"/>
      <c r="G172" s="13"/>
    </row>
    <row r="173" spans="1:8" ht="24" x14ac:dyDescent="0.3">
      <c r="A173" s="62"/>
      <c r="C173" s="12"/>
      <c r="D173" s="12"/>
      <c r="E173" s="12"/>
      <c r="F173" s="12"/>
      <c r="G173" s="13"/>
    </row>
    <row r="174" spans="1:8" ht="24" x14ac:dyDescent="0.3">
      <c r="A174" s="62"/>
      <c r="C174" s="12"/>
      <c r="D174" s="12"/>
      <c r="E174" s="12"/>
      <c r="F174" s="12"/>
      <c r="G174" s="13"/>
    </row>
    <row r="175" spans="1:8" ht="24" x14ac:dyDescent="0.3">
      <c r="A175" s="62"/>
      <c r="C175" s="12"/>
      <c r="D175" s="12"/>
      <c r="E175" s="12"/>
      <c r="F175" s="12"/>
      <c r="G175" s="13"/>
    </row>
    <row r="176" spans="1:8" ht="24" x14ac:dyDescent="0.3">
      <c r="A176" s="62"/>
      <c r="C176" s="12"/>
      <c r="D176" s="12"/>
      <c r="E176" s="12"/>
      <c r="F176" s="12"/>
      <c r="G176" s="13"/>
    </row>
    <row r="177" spans="1:7" ht="24" x14ac:dyDescent="0.3">
      <c r="A177" s="62"/>
      <c r="C177" s="12"/>
      <c r="D177" s="12"/>
      <c r="E177" s="12"/>
      <c r="F177" s="12"/>
      <c r="G177" s="13"/>
    </row>
    <row r="178" spans="1:7" ht="24" x14ac:dyDescent="0.3">
      <c r="A178" s="62"/>
      <c r="B178" s="11"/>
      <c r="C178" s="12"/>
      <c r="D178" s="12"/>
      <c r="E178" s="12"/>
      <c r="F178" s="12"/>
      <c r="G178" s="13"/>
    </row>
    <row r="180" spans="1:7" x14ac:dyDescent="0.2">
      <c r="A180" s="58"/>
    </row>
    <row r="181" spans="1:7" x14ac:dyDescent="0.2">
      <c r="A181" s="58"/>
    </row>
    <row r="182" spans="1:7" x14ac:dyDescent="0.2">
      <c r="A182" t="s">
        <v>114</v>
      </c>
      <c r="B182" s="22">
        <v>624500</v>
      </c>
      <c r="C182" t="s">
        <v>115</v>
      </c>
    </row>
    <row r="183" spans="1:7" x14ac:dyDescent="0.2">
      <c r="A183" t="s">
        <v>116</v>
      </c>
      <c r="B183" s="22">
        <v>138000</v>
      </c>
      <c r="C183" t="s">
        <v>117</v>
      </c>
    </row>
    <row r="185" spans="1:7" ht="20" customHeight="1" x14ac:dyDescent="0.2">
      <c r="A185" s="285" t="s">
        <v>76</v>
      </c>
      <c r="B185" s="286" t="s">
        <v>118</v>
      </c>
      <c r="C185" s="286"/>
      <c r="D185" s="286"/>
      <c r="E185" s="287" t="s">
        <v>119</v>
      </c>
      <c r="F185" s="196"/>
    </row>
    <row r="186" spans="1:7" ht="31" customHeight="1" x14ac:dyDescent="0.2">
      <c r="A186" s="285"/>
      <c r="B186" s="68" t="s">
        <v>120</v>
      </c>
      <c r="C186" s="68" t="s">
        <v>121</v>
      </c>
      <c r="D186" s="68" t="s">
        <v>0</v>
      </c>
      <c r="E186" s="288"/>
      <c r="F186" s="196"/>
    </row>
    <row r="187" spans="1:7" ht="17" customHeight="1" x14ac:dyDescent="0.2">
      <c r="A187" s="278" t="s">
        <v>122</v>
      </c>
      <c r="B187" s="279"/>
      <c r="C187" s="279"/>
      <c r="D187" s="279"/>
      <c r="E187" s="280"/>
      <c r="F187" s="197"/>
    </row>
    <row r="188" spans="1:7" x14ac:dyDescent="0.2">
      <c r="A188" s="48" t="s">
        <v>78</v>
      </c>
      <c r="B188" s="49" t="e">
        <f>#REF!</f>
        <v>#REF!</v>
      </c>
      <c r="C188" s="68" t="s">
        <v>123</v>
      </c>
      <c r="D188" s="51" t="s">
        <v>124</v>
      </c>
      <c r="E188" s="52" t="e">
        <f>B188*$B$182/2000</f>
        <v>#REF!</v>
      </c>
      <c r="F188" s="194"/>
    </row>
    <row r="189" spans="1:7" x14ac:dyDescent="0.2">
      <c r="A189" s="48" t="s">
        <v>79</v>
      </c>
      <c r="B189" s="49" t="e">
        <f>#REF!</f>
        <v>#REF!</v>
      </c>
      <c r="C189" s="68" t="s">
        <v>123</v>
      </c>
      <c r="D189" s="51" t="s">
        <v>124</v>
      </c>
      <c r="E189" s="52" t="e">
        <f>B189*$B$182/2000</f>
        <v>#REF!</v>
      </c>
      <c r="F189" s="194"/>
    </row>
    <row r="190" spans="1:7" x14ac:dyDescent="0.2">
      <c r="A190" s="48" t="s">
        <v>80</v>
      </c>
      <c r="B190" s="49" t="e">
        <f>#REF!</f>
        <v>#REF!</v>
      </c>
      <c r="C190" s="68" t="s">
        <v>123</v>
      </c>
      <c r="D190" s="51" t="s">
        <v>124</v>
      </c>
      <c r="E190" s="53" t="e">
        <f>B190*$B$182/2000</f>
        <v>#REF!</v>
      </c>
      <c r="F190" s="195"/>
    </row>
    <row r="191" spans="1:7" x14ac:dyDescent="0.2">
      <c r="A191" s="48" t="s">
        <v>81</v>
      </c>
      <c r="B191" s="49" t="e">
        <f>#REF!</f>
        <v>#REF!</v>
      </c>
      <c r="C191" s="68" t="s">
        <v>123</v>
      </c>
      <c r="D191" s="51" t="s">
        <v>124</v>
      </c>
      <c r="E191" s="53" t="e">
        <f>B191*$B$182/2000</f>
        <v>#REF!</v>
      </c>
      <c r="F191" s="195"/>
    </row>
    <row r="192" spans="1:7" x14ac:dyDescent="0.2">
      <c r="A192" s="48" t="s">
        <v>82</v>
      </c>
      <c r="B192" s="49" t="e">
        <f>#REF!</f>
        <v>#REF!</v>
      </c>
      <c r="C192" s="68" t="s">
        <v>123</v>
      </c>
      <c r="D192" s="51" t="s">
        <v>124</v>
      </c>
      <c r="E192" s="53" t="e">
        <f>B192*$B$182/2000</f>
        <v>#REF!</v>
      </c>
      <c r="F192" s="195"/>
    </row>
    <row r="193" spans="1:7" x14ac:dyDescent="0.2">
      <c r="A193" s="48" t="s">
        <v>125</v>
      </c>
      <c r="B193" s="49">
        <v>8.3000000000000001E-3</v>
      </c>
      <c r="C193" s="68" t="s">
        <v>126</v>
      </c>
      <c r="D193" s="51" t="s">
        <v>127</v>
      </c>
      <c r="E193" s="55">
        <f>B193*B182/1000/2000</f>
        <v>2.5916750000000003E-3</v>
      </c>
      <c r="F193" s="123"/>
    </row>
    <row r="194" spans="1:7" x14ac:dyDescent="0.2">
      <c r="A194" s="281" t="s">
        <v>91</v>
      </c>
      <c r="B194" s="282"/>
      <c r="C194" s="282"/>
      <c r="D194" s="282"/>
      <c r="E194" s="283"/>
      <c r="F194" s="188"/>
    </row>
    <row r="195" spans="1:7" x14ac:dyDescent="0.2">
      <c r="A195" s="48" t="s">
        <v>92</v>
      </c>
      <c r="B195" s="49">
        <v>1.04E-5</v>
      </c>
      <c r="C195" s="68" t="s">
        <v>93</v>
      </c>
      <c r="D195" s="51" t="s">
        <v>94</v>
      </c>
      <c r="E195" s="52">
        <f>B195*$B$182</f>
        <v>6.4948000000000006</v>
      </c>
      <c r="F195" s="194"/>
      <c r="G195" t="s">
        <v>95</v>
      </c>
    </row>
    <row r="196" spans="1:7" x14ac:dyDescent="0.2">
      <c r="A196" s="48" t="s">
        <v>96</v>
      </c>
      <c r="B196" s="49">
        <v>1.0206E-2</v>
      </c>
      <c r="C196" s="68" t="s">
        <v>93</v>
      </c>
      <c r="D196" s="51" t="s">
        <v>94</v>
      </c>
      <c r="E196" s="65">
        <f>B196*$B$182</f>
        <v>6373.6469999999999</v>
      </c>
      <c r="F196" s="198"/>
      <c r="G196" t="s">
        <v>95</v>
      </c>
    </row>
    <row r="197" spans="1:7" x14ac:dyDescent="0.2">
      <c r="A197" s="48" t="s">
        <v>97</v>
      </c>
      <c r="B197" s="49">
        <v>2.4700000000000001E-5</v>
      </c>
      <c r="C197" s="68" t="s">
        <v>93</v>
      </c>
      <c r="D197" s="51" t="s">
        <v>94</v>
      </c>
      <c r="E197" s="52">
        <f>B197*$B$182</f>
        <v>15.42515</v>
      </c>
      <c r="F197" s="194"/>
      <c r="G197" t="s">
        <v>95</v>
      </c>
    </row>
    <row r="198" spans="1:7" x14ac:dyDescent="0.2">
      <c r="A198" s="281" t="s">
        <v>98</v>
      </c>
      <c r="B198" s="282"/>
      <c r="C198" s="282"/>
      <c r="D198" s="282"/>
      <c r="E198" s="283"/>
      <c r="F198" s="188"/>
    </row>
    <row r="199" spans="1:7" x14ac:dyDescent="0.2">
      <c r="A199" s="48" t="s">
        <v>13</v>
      </c>
      <c r="B199" s="49">
        <v>7.76E-4</v>
      </c>
      <c r="C199" s="68" t="s">
        <v>100</v>
      </c>
      <c r="D199" s="51" t="s">
        <v>101</v>
      </c>
      <c r="E199" s="54">
        <f t="shared" ref="E199:E206" si="3">B199*$B$182*$B$183/1000000/2000</f>
        <v>3.3438228E-2</v>
      </c>
      <c r="F199" s="180"/>
    </row>
    <row r="200" spans="1:7" x14ac:dyDescent="0.2">
      <c r="A200" s="48" t="s">
        <v>54</v>
      </c>
      <c r="B200" s="49">
        <v>2.81E-4</v>
      </c>
      <c r="C200" s="68" t="s">
        <v>100</v>
      </c>
      <c r="D200" s="51" t="s">
        <v>101</v>
      </c>
      <c r="E200" s="55">
        <f t="shared" si="3"/>
        <v>1.2108430500000001E-2</v>
      </c>
      <c r="F200" s="123"/>
    </row>
    <row r="201" spans="1:7" x14ac:dyDescent="0.2">
      <c r="A201" s="48" t="s">
        <v>102</v>
      </c>
      <c r="B201" s="49">
        <v>1.93E-4</v>
      </c>
      <c r="C201" s="68" t="s">
        <v>100</v>
      </c>
      <c r="D201" s="51" t="s">
        <v>101</v>
      </c>
      <c r="E201" s="55">
        <f t="shared" si="3"/>
        <v>8.3164665000000013E-3</v>
      </c>
      <c r="F201" s="123"/>
    </row>
    <row r="202" spans="1:7" x14ac:dyDescent="0.2">
      <c r="A202" s="48" t="s">
        <v>30</v>
      </c>
      <c r="B202" s="49">
        <v>7.8899999999999993E-5</v>
      </c>
      <c r="C202" s="68" t="s">
        <v>100</v>
      </c>
      <c r="D202" s="51" t="s">
        <v>101</v>
      </c>
      <c r="E202" s="55">
        <f t="shared" si="3"/>
        <v>3.3998404499999998E-3</v>
      </c>
      <c r="F202" s="123"/>
    </row>
    <row r="203" spans="1:7" x14ac:dyDescent="0.2">
      <c r="A203" s="48" t="s">
        <v>2</v>
      </c>
      <c r="B203" s="49">
        <v>2.5199999999999999E-5</v>
      </c>
      <c r="C203" s="68" t="s">
        <v>100</v>
      </c>
      <c r="D203" s="51" t="s">
        <v>101</v>
      </c>
      <c r="E203" s="56">
        <f t="shared" si="3"/>
        <v>1.0858805999999998E-3</v>
      </c>
      <c r="F203" s="124"/>
    </row>
    <row r="204" spans="1:7" x14ac:dyDescent="0.2">
      <c r="A204" s="48" t="s">
        <v>4</v>
      </c>
      <c r="B204" s="49">
        <v>7.8800000000000008E-6</v>
      </c>
      <c r="C204" s="68" t="s">
        <v>100</v>
      </c>
      <c r="D204" s="51" t="s">
        <v>101</v>
      </c>
      <c r="E204" s="56">
        <f t="shared" si="3"/>
        <v>3.3955314000000007E-4</v>
      </c>
      <c r="F204" s="124"/>
    </row>
    <row r="205" spans="1:7" x14ac:dyDescent="0.2">
      <c r="A205" s="48" t="s">
        <v>103</v>
      </c>
      <c r="B205" s="49">
        <v>1.2999999999999999E-4</v>
      </c>
      <c r="C205" s="68" t="s">
        <v>100</v>
      </c>
      <c r="D205" s="51" t="s">
        <v>101</v>
      </c>
      <c r="E205" s="55">
        <f t="shared" si="3"/>
        <v>5.6017649999999999E-3</v>
      </c>
      <c r="F205" s="123"/>
    </row>
    <row r="206" spans="1:7" x14ac:dyDescent="0.2">
      <c r="A206" s="48" t="s">
        <v>104</v>
      </c>
      <c r="B206" s="49">
        <v>2.12E-4</v>
      </c>
      <c r="C206" s="68" t="s">
        <v>100</v>
      </c>
      <c r="D206" s="51" t="s">
        <v>101</v>
      </c>
      <c r="E206" s="55">
        <f t="shared" si="3"/>
        <v>9.135186E-3</v>
      </c>
      <c r="F206" s="123"/>
    </row>
    <row r="207" spans="1:7" x14ac:dyDescent="0.2">
      <c r="A207" s="48" t="s">
        <v>105</v>
      </c>
      <c r="B207" s="49"/>
      <c r="C207" s="68"/>
      <c r="D207" s="48"/>
      <c r="E207" s="54">
        <f>SUM(E199:E206)</f>
        <v>7.3425350190000002E-2</v>
      </c>
      <c r="F207" s="180"/>
    </row>
    <row r="208" spans="1:7" x14ac:dyDescent="0.2">
      <c r="B208" s="57"/>
      <c r="C208" s="3"/>
      <c r="E208" s="24"/>
      <c r="F208" s="24"/>
    </row>
    <row r="209" spans="1:8" x14ac:dyDescent="0.2">
      <c r="A209" t="s">
        <v>106</v>
      </c>
      <c r="B209" s="57"/>
      <c r="C209" s="3"/>
      <c r="E209" s="24"/>
      <c r="F209" s="24"/>
    </row>
    <row r="210" spans="1:8" x14ac:dyDescent="0.2">
      <c r="A210" t="s">
        <v>107</v>
      </c>
      <c r="B210" s="57"/>
      <c r="C210" s="3"/>
      <c r="E210" s="24"/>
      <c r="F210" s="24"/>
    </row>
    <row r="211" spans="1:8" x14ac:dyDescent="0.2">
      <c r="A211" t="s">
        <v>108</v>
      </c>
      <c r="B211" s="57"/>
      <c r="C211" s="3"/>
      <c r="E211" s="24"/>
      <c r="F211" s="24"/>
    </row>
    <row r="212" spans="1:8" x14ac:dyDescent="0.2">
      <c r="A212" t="s">
        <v>109</v>
      </c>
      <c r="B212" s="57"/>
      <c r="C212" s="3"/>
      <c r="E212" s="24"/>
      <c r="F212" s="24"/>
    </row>
    <row r="213" spans="1:8" x14ac:dyDescent="0.2">
      <c r="B213" s="57"/>
      <c r="C213" s="3"/>
      <c r="E213" s="24"/>
      <c r="F213" s="24"/>
    </row>
    <row r="215" spans="1:8" x14ac:dyDescent="0.2">
      <c r="A215" s="58" t="s">
        <v>128</v>
      </c>
    </row>
    <row r="217" spans="1:8" x14ac:dyDescent="0.2">
      <c r="A217" s="68" t="s">
        <v>78</v>
      </c>
      <c r="B217" s="68" t="s">
        <v>79</v>
      </c>
      <c r="C217" s="68" t="s">
        <v>80</v>
      </c>
      <c r="D217" s="68" t="s">
        <v>81</v>
      </c>
      <c r="E217" s="68" t="s">
        <v>82</v>
      </c>
      <c r="F217" s="59"/>
      <c r="G217" s="59" t="s">
        <v>112</v>
      </c>
      <c r="H217" s="68" t="s">
        <v>113</v>
      </c>
    </row>
    <row r="218" spans="1:8" x14ac:dyDescent="0.2">
      <c r="A218" s="270" t="s">
        <v>62</v>
      </c>
      <c r="B218" s="284"/>
      <c r="C218" s="284"/>
      <c r="D218" s="284"/>
      <c r="E218" s="284"/>
      <c r="F218" s="284"/>
      <c r="G218" s="284"/>
      <c r="H218" s="271"/>
    </row>
    <row r="219" spans="1:8" x14ac:dyDescent="0.2">
      <c r="A219" s="60" t="e">
        <f>E188</f>
        <v>#REF!</v>
      </c>
      <c r="B219" s="60" t="e">
        <f>E189</f>
        <v>#REF!</v>
      </c>
      <c r="C219" s="60" t="e">
        <f>E190</f>
        <v>#REF!</v>
      </c>
      <c r="D219" s="61" t="e">
        <f>E191</f>
        <v>#REF!</v>
      </c>
      <c r="E219" s="61" t="e">
        <f>E192</f>
        <v>#REF!</v>
      </c>
      <c r="F219" s="61"/>
      <c r="G219" s="60">
        <f>SUM(E195:E197)</f>
        <v>6395.5669500000004</v>
      </c>
      <c r="H219" s="54">
        <f>E207</f>
        <v>7.3425350190000002E-2</v>
      </c>
    </row>
  </sheetData>
  <mergeCells count="14">
    <mergeCell ref="A146:E146"/>
    <mergeCell ref="A23:C23"/>
    <mergeCell ref="A33:C33"/>
    <mergeCell ref="A39:E39"/>
    <mergeCell ref="G39:H39"/>
    <mergeCell ref="A142:E142"/>
    <mergeCell ref="A198:E198"/>
    <mergeCell ref="A218:H218"/>
    <mergeCell ref="A166:H166"/>
    <mergeCell ref="A185:A186"/>
    <mergeCell ref="B185:D185"/>
    <mergeCell ref="E185:E186"/>
    <mergeCell ref="A187:E187"/>
    <mergeCell ref="A194:E194"/>
  </mergeCells>
  <pageMargins left="0.7" right="0.7" top="0.75" bottom="0.75" header="0.3" footer="0.3"/>
  <pageSetup orientation="portrait" horizontalDpi="0" verticalDpi="0"/>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A2D66-28B7-0340-BDB3-00FF88D13C93}">
  <sheetPr>
    <tabColor rgb="FF008000"/>
  </sheetPr>
  <dimension ref="A1:K216"/>
  <sheetViews>
    <sheetView topLeftCell="A12" zoomScale="86" zoomScaleNormal="86" workbookViewId="0">
      <selection activeCell="M16" sqref="M16"/>
    </sheetView>
  </sheetViews>
  <sheetFormatPr baseColWidth="10" defaultColWidth="11" defaultRowHeight="16" x14ac:dyDescent="0.2"/>
  <cols>
    <col min="1" max="1" width="27.83203125" customWidth="1"/>
    <col min="2" max="2" width="10.1640625" customWidth="1"/>
    <col min="3" max="3" width="10" customWidth="1"/>
    <col min="4" max="10" width="9.6640625" customWidth="1"/>
    <col min="13" max="13" width="12.6640625" customWidth="1"/>
    <col min="14" max="14" width="14" customWidth="1"/>
  </cols>
  <sheetData>
    <row r="1" spans="1:11" ht="21" x14ac:dyDescent="0.25">
      <c r="A1" s="10"/>
      <c r="B1" s="11"/>
      <c r="C1" s="12"/>
      <c r="D1" s="12"/>
      <c r="E1" s="12"/>
      <c r="F1" s="13"/>
    </row>
    <row r="3" spans="1:11" x14ac:dyDescent="0.2">
      <c r="A3" s="14"/>
    </row>
    <row r="4" spans="1:11" ht="18" x14ac:dyDescent="0.2">
      <c r="A4" s="15" t="s">
        <v>289</v>
      </c>
    </row>
    <row r="6" spans="1:11" s="20" customFormat="1" x14ac:dyDescent="0.2">
      <c r="A6" s="18" t="s">
        <v>288</v>
      </c>
      <c r="B6" s="17">
        <v>1</v>
      </c>
      <c r="C6" s="18"/>
      <c r="D6" s="19"/>
      <c r="F6"/>
      <c r="G6"/>
      <c r="H6"/>
      <c r="I6"/>
      <c r="J6"/>
      <c r="K6"/>
    </row>
    <row r="7" spans="1:11" s="20" customFormat="1" x14ac:dyDescent="0.2">
      <c r="A7" s="18" t="s">
        <v>63</v>
      </c>
      <c r="B7" s="21">
        <v>4</v>
      </c>
      <c r="C7" s="18" t="s">
        <v>64</v>
      </c>
      <c r="D7" s="19"/>
      <c r="F7" s="66"/>
      <c r="G7"/>
      <c r="H7"/>
      <c r="I7"/>
      <c r="J7"/>
      <c r="K7"/>
    </row>
    <row r="8" spans="1:11" x14ac:dyDescent="0.2">
      <c r="A8" s="18" t="s">
        <v>65</v>
      </c>
      <c r="B8" s="22">
        <v>1020</v>
      </c>
      <c r="C8" t="s">
        <v>66</v>
      </c>
    </row>
    <row r="9" spans="1:11" x14ac:dyDescent="0.2">
      <c r="A9" s="18" t="s">
        <v>67</v>
      </c>
      <c r="B9" s="22">
        <v>24</v>
      </c>
    </row>
    <row r="10" spans="1:11" x14ac:dyDescent="0.2">
      <c r="A10" s="18" t="s">
        <v>68</v>
      </c>
      <c r="B10" s="17">
        <v>8760</v>
      </c>
    </row>
    <row r="11" spans="1:11" ht="34" x14ac:dyDescent="0.2">
      <c r="A11" s="163" t="s">
        <v>130</v>
      </c>
      <c r="B11" s="192">
        <v>1</v>
      </c>
      <c r="F11" s="66"/>
      <c r="I11" s="66" t="s">
        <v>152</v>
      </c>
    </row>
    <row r="12" spans="1:11" ht="15.75" customHeight="1" x14ac:dyDescent="0.2">
      <c r="A12" s="18" t="s">
        <v>69</v>
      </c>
      <c r="B12" s="24">
        <f>B6*B7*B10*B11</f>
        <v>35040</v>
      </c>
      <c r="C12" t="s">
        <v>70</v>
      </c>
      <c r="D12" s="25"/>
    </row>
    <row r="13" spans="1:11" ht="15.75" customHeight="1" x14ac:dyDescent="0.2">
      <c r="A13" s="18" t="s">
        <v>69</v>
      </c>
      <c r="B13" s="24">
        <f>B12/B8</f>
        <v>34.352941176470587</v>
      </c>
      <c r="C13" t="s">
        <v>71</v>
      </c>
      <c r="D13" s="25"/>
    </row>
    <row r="14" spans="1:11" x14ac:dyDescent="0.2">
      <c r="A14" s="18"/>
      <c r="B14" s="22"/>
    </row>
    <row r="15" spans="1:11" ht="15.75" customHeight="1" x14ac:dyDescent="0.2">
      <c r="A15" s="18"/>
      <c r="B15" s="24"/>
      <c r="D15" s="25"/>
    </row>
    <row r="16" spans="1:11" s="20" customFormat="1" x14ac:dyDescent="0.2">
      <c r="A16" s="16" t="s">
        <v>129</v>
      </c>
      <c r="B16" s="17"/>
      <c r="C16" s="18"/>
      <c r="D16" s="19"/>
    </row>
    <row r="17" spans="1:4" ht="15.75" customHeight="1" x14ac:dyDescent="0.2">
      <c r="A17" s="18" t="s">
        <v>72</v>
      </c>
      <c r="B17" s="24">
        <f>B12</f>
        <v>35040</v>
      </c>
      <c r="C17" t="s">
        <v>70</v>
      </c>
      <c r="D17" s="25"/>
    </row>
    <row r="18" spans="1:4" ht="15.75" customHeight="1" x14ac:dyDescent="0.2">
      <c r="A18" s="18" t="s">
        <v>72</v>
      </c>
      <c r="B18" s="24">
        <f>B13</f>
        <v>34.352941176470587</v>
      </c>
      <c r="C18" t="s">
        <v>71</v>
      </c>
      <c r="D18" s="25"/>
    </row>
    <row r="19" spans="1:4" ht="15.75" customHeight="1" x14ac:dyDescent="0.2">
      <c r="A19" s="18" t="s">
        <v>73</v>
      </c>
      <c r="B19" s="27">
        <f>B6*B7/B8*B9</f>
        <v>9.4117647058823528E-2</v>
      </c>
      <c r="C19" t="s">
        <v>74</v>
      </c>
      <c r="D19" s="25"/>
    </row>
    <row r="20" spans="1:4" ht="15.75" customHeight="1" x14ac:dyDescent="0.2">
      <c r="A20" s="18"/>
      <c r="B20" s="24"/>
      <c r="D20" s="28"/>
    </row>
    <row r="21" spans="1:4" ht="18" customHeight="1" x14ac:dyDescent="0.2">
      <c r="A21" s="272" t="s">
        <v>75</v>
      </c>
      <c r="B21" s="272"/>
      <c r="C21" s="272"/>
    </row>
    <row r="22" spans="1:4" ht="47" customHeight="1" x14ac:dyDescent="0.2">
      <c r="A22" s="29" t="s">
        <v>76</v>
      </c>
      <c r="B22" s="30" t="s">
        <v>77</v>
      </c>
      <c r="C22" s="29" t="s">
        <v>131</v>
      </c>
    </row>
    <row r="23" spans="1:4" ht="15.75" customHeight="1" x14ac:dyDescent="0.2">
      <c r="A23" s="31" t="s">
        <v>78</v>
      </c>
      <c r="B23" s="31">
        <v>100</v>
      </c>
      <c r="C23" s="34">
        <f>B23*$B$18/2000</f>
        <v>1.7176470588235293</v>
      </c>
    </row>
    <row r="24" spans="1:4" ht="15.75" customHeight="1" x14ac:dyDescent="0.2">
      <c r="A24" s="31" t="s">
        <v>79</v>
      </c>
      <c r="B24" s="31">
        <v>84</v>
      </c>
      <c r="C24" s="34">
        <f>B24*$B$18/2000</f>
        <v>1.4428235294117646</v>
      </c>
    </row>
    <row r="25" spans="1:4" ht="15.75" customHeight="1" x14ac:dyDescent="0.2">
      <c r="A25" s="31" t="s">
        <v>80</v>
      </c>
      <c r="B25" s="31">
        <v>5.5</v>
      </c>
      <c r="C25" s="67">
        <f>B25*$B$18/2000</f>
        <v>9.4470588235294112E-2</v>
      </c>
    </row>
    <row r="26" spans="1:4" ht="15.75" customHeight="1" x14ac:dyDescent="0.2">
      <c r="A26" s="31" t="s">
        <v>81</v>
      </c>
      <c r="B26" s="31">
        <v>2.5</v>
      </c>
      <c r="C26" s="67">
        <f>B26*$B$18/2000</f>
        <v>4.2941176470588233E-2</v>
      </c>
    </row>
    <row r="27" spans="1:4" x14ac:dyDescent="0.2">
      <c r="A27" s="31" t="s">
        <v>82</v>
      </c>
      <c r="B27" s="31">
        <v>2.6</v>
      </c>
      <c r="C27" s="67">
        <f>B27*$B$18/2000</f>
        <v>4.4658823529411765E-2</v>
      </c>
    </row>
    <row r="28" spans="1:4" x14ac:dyDescent="0.2">
      <c r="A28" s="35" t="s">
        <v>83</v>
      </c>
      <c r="B28" s="36"/>
      <c r="C28" s="37"/>
    </row>
    <row r="29" spans="1:4" x14ac:dyDescent="0.2">
      <c r="A29" s="38"/>
      <c r="B29" s="38"/>
      <c r="C29" s="39"/>
    </row>
    <row r="30" spans="1:4" ht="18" customHeight="1" x14ac:dyDescent="0.2">
      <c r="A30" s="272" t="s">
        <v>84</v>
      </c>
      <c r="B30" s="272"/>
      <c r="C30" s="272"/>
    </row>
    <row r="31" spans="1:4" ht="49" customHeight="1" x14ac:dyDescent="0.2">
      <c r="A31" s="29" t="s">
        <v>76</v>
      </c>
      <c r="B31" s="30" t="s">
        <v>85</v>
      </c>
      <c r="C31" s="29" t="s">
        <v>131</v>
      </c>
    </row>
    <row r="32" spans="1:4" x14ac:dyDescent="0.2">
      <c r="A32" s="31" t="s">
        <v>86</v>
      </c>
      <c r="B32" s="31">
        <v>53.114800000000002</v>
      </c>
      <c r="C32" s="33">
        <f>(B32*B17/1000)*1.10231</f>
        <v>2051.55609058752</v>
      </c>
    </row>
    <row r="33" spans="1:9" x14ac:dyDescent="0.2">
      <c r="A33" s="35" t="s">
        <v>87</v>
      </c>
      <c r="B33" s="36"/>
      <c r="C33" s="37"/>
    </row>
    <row r="34" spans="1:9" x14ac:dyDescent="0.2">
      <c r="C34" s="26"/>
    </row>
    <row r="35" spans="1:9" x14ac:dyDescent="0.2">
      <c r="C35" s="26"/>
    </row>
    <row r="36" spans="1:9" ht="21" customHeight="1" x14ac:dyDescent="0.2">
      <c r="A36" s="273" t="s">
        <v>88</v>
      </c>
      <c r="B36" s="274"/>
      <c r="C36" s="274"/>
      <c r="D36" s="274"/>
      <c r="E36" s="275"/>
      <c r="F36" s="276" t="s">
        <v>132</v>
      </c>
      <c r="G36" s="277"/>
    </row>
    <row r="37" spans="1:9" ht="58" customHeight="1" x14ac:dyDescent="0.4">
      <c r="A37" s="40" t="s">
        <v>76</v>
      </c>
      <c r="B37" s="40" t="s">
        <v>89</v>
      </c>
      <c r="C37" s="41" t="s">
        <v>77</v>
      </c>
      <c r="D37" s="69" t="s">
        <v>133</v>
      </c>
      <c r="E37" s="69" t="s">
        <v>134</v>
      </c>
      <c r="F37" s="69" t="s">
        <v>133</v>
      </c>
      <c r="G37" s="69" t="s">
        <v>134</v>
      </c>
      <c r="I37" s="43"/>
    </row>
    <row r="38" spans="1:9" ht="17" x14ac:dyDescent="0.2">
      <c r="A38" s="111" t="s">
        <v>13</v>
      </c>
      <c r="B38" s="31" t="s">
        <v>12</v>
      </c>
      <c r="C38" s="31">
        <v>8.0000000000000002E-3</v>
      </c>
      <c r="D38" s="44">
        <f t="shared" ref="D38:D64" si="0">C38*$B$19</f>
        <v>7.5294117647058828E-4</v>
      </c>
      <c r="E38" s="34">
        <f t="shared" ref="E38:E64" si="1">C38*$B$18</f>
        <v>0.27482352941176469</v>
      </c>
      <c r="F38" s="45">
        <f t="shared" ref="F38:G64" si="2">D38/$B$6</f>
        <v>7.5294117647058828E-4</v>
      </c>
      <c r="G38" s="45">
        <f t="shared" si="2"/>
        <v>0.27482352941176469</v>
      </c>
      <c r="I38" t="s">
        <v>274</v>
      </c>
    </row>
    <row r="39" spans="1:9" ht="17" x14ac:dyDescent="0.2">
      <c r="A39" s="111" t="s">
        <v>30</v>
      </c>
      <c r="B39" s="31" t="s">
        <v>29</v>
      </c>
      <c r="C39" s="31">
        <v>1.7000000000000001E-2</v>
      </c>
      <c r="D39" s="44">
        <f t="shared" si="0"/>
        <v>1.6000000000000001E-3</v>
      </c>
      <c r="E39" s="34">
        <f t="shared" si="1"/>
        <v>0.58400000000000007</v>
      </c>
      <c r="F39" s="45">
        <f t="shared" si="2"/>
        <v>1.6000000000000001E-3</v>
      </c>
      <c r="G39" s="45">
        <f t="shared" si="2"/>
        <v>0.58400000000000007</v>
      </c>
      <c r="I39" t="s">
        <v>274</v>
      </c>
    </row>
    <row r="40" spans="1:9" ht="34" x14ac:dyDescent="0.2">
      <c r="A40" s="111" t="s">
        <v>48</v>
      </c>
      <c r="B40" s="76">
        <v>401</v>
      </c>
      <c r="C40" s="31">
        <v>1E-4</v>
      </c>
      <c r="D40" s="44">
        <f t="shared" si="0"/>
        <v>9.4117647058823538E-6</v>
      </c>
      <c r="E40" s="34">
        <f t="shared" si="1"/>
        <v>3.435294117647059E-3</v>
      </c>
      <c r="F40" s="45">
        <f t="shared" si="2"/>
        <v>9.4117647058823538E-6</v>
      </c>
      <c r="G40" s="45">
        <f t="shared" si="2"/>
        <v>3.435294117647059E-3</v>
      </c>
      <c r="I40" t="s">
        <v>274</v>
      </c>
    </row>
    <row r="41" spans="1:9" ht="17" x14ac:dyDescent="0.2">
      <c r="A41" s="111" t="s">
        <v>15</v>
      </c>
      <c r="B41" s="31" t="s">
        <v>14</v>
      </c>
      <c r="C41" s="31">
        <v>1.1999999999999999E-6</v>
      </c>
      <c r="D41" s="44">
        <f t="shared" si="0"/>
        <v>1.1294117647058823E-7</v>
      </c>
      <c r="E41" s="34">
        <f t="shared" si="1"/>
        <v>4.12235294117647E-5</v>
      </c>
      <c r="F41" s="45">
        <f t="shared" si="2"/>
        <v>1.1294117647058823E-7</v>
      </c>
      <c r="G41" s="45">
        <f t="shared" si="2"/>
        <v>4.12235294117647E-5</v>
      </c>
      <c r="I41" t="s">
        <v>274</v>
      </c>
    </row>
    <row r="42" spans="1:9" ht="17" x14ac:dyDescent="0.2">
      <c r="A42" s="111" t="s">
        <v>43</v>
      </c>
      <c r="B42" s="31" t="s">
        <v>42</v>
      </c>
      <c r="C42" s="31">
        <v>2.9999999999999997E-4</v>
      </c>
      <c r="D42" s="44">
        <f t="shared" si="0"/>
        <v>2.8235294117647056E-5</v>
      </c>
      <c r="E42" s="34">
        <f t="shared" si="1"/>
        <v>1.0305882352941175E-2</v>
      </c>
      <c r="F42" s="45">
        <f t="shared" si="2"/>
        <v>2.8235294117647056E-5</v>
      </c>
      <c r="G42" s="45">
        <f t="shared" si="2"/>
        <v>1.0305882352941175E-2</v>
      </c>
      <c r="I42" t="s">
        <v>274</v>
      </c>
    </row>
    <row r="43" spans="1:9" ht="17" x14ac:dyDescent="0.2">
      <c r="A43" s="111" t="s">
        <v>2</v>
      </c>
      <c r="B43" s="31" t="s">
        <v>1</v>
      </c>
      <c r="C43" s="31">
        <v>4.3E-3</v>
      </c>
      <c r="D43" s="44">
        <f t="shared" si="0"/>
        <v>4.047058823529412E-4</v>
      </c>
      <c r="E43" s="34">
        <f t="shared" si="1"/>
        <v>0.14771764705882354</v>
      </c>
      <c r="F43" s="45">
        <f t="shared" si="2"/>
        <v>4.047058823529412E-4</v>
      </c>
      <c r="G43" s="45">
        <f t="shared" si="2"/>
        <v>0.14771764705882354</v>
      </c>
      <c r="I43" t="s">
        <v>274</v>
      </c>
    </row>
    <row r="44" spans="1:9" ht="17" x14ac:dyDescent="0.2">
      <c r="A44" s="111" t="s">
        <v>4</v>
      </c>
      <c r="B44" s="31" t="s">
        <v>3</v>
      </c>
      <c r="C44" s="31">
        <v>2.7000000000000001E-3</v>
      </c>
      <c r="D44" s="44">
        <f t="shared" si="0"/>
        <v>2.5411764705882356E-4</v>
      </c>
      <c r="E44" s="34">
        <f t="shared" si="1"/>
        <v>9.2752941176470594E-2</v>
      </c>
      <c r="F44" s="45">
        <f t="shared" si="2"/>
        <v>2.5411764705882356E-4</v>
      </c>
      <c r="G44" s="45">
        <f t="shared" si="2"/>
        <v>9.2752941176470594E-2</v>
      </c>
      <c r="I44" t="s">
        <v>274</v>
      </c>
    </row>
    <row r="45" spans="1:9" ht="17" x14ac:dyDescent="0.2">
      <c r="A45" s="111" t="s">
        <v>7</v>
      </c>
      <c r="B45" s="31" t="s">
        <v>6</v>
      </c>
      <c r="C45" s="31">
        <v>3.2</v>
      </c>
      <c r="D45" s="44">
        <f t="shared" si="0"/>
        <v>0.30117647058823532</v>
      </c>
      <c r="E45" s="34">
        <f t="shared" si="1"/>
        <v>109.92941176470589</v>
      </c>
      <c r="F45" s="45">
        <f t="shared" si="2"/>
        <v>0.30117647058823532</v>
      </c>
      <c r="G45" s="45">
        <f t="shared" si="2"/>
        <v>109.92941176470589</v>
      </c>
    </row>
    <row r="46" spans="1:9" ht="17" x14ac:dyDescent="0.2">
      <c r="A46" s="111" t="s">
        <v>9</v>
      </c>
      <c r="B46" s="31" t="s">
        <v>8</v>
      </c>
      <c r="C46" s="31">
        <v>2.0000000000000001E-4</v>
      </c>
      <c r="D46" s="44">
        <f t="shared" si="0"/>
        <v>1.8823529411764708E-5</v>
      </c>
      <c r="E46" s="34">
        <f t="shared" si="1"/>
        <v>6.8705882352941179E-3</v>
      </c>
      <c r="F46" s="45">
        <f t="shared" si="2"/>
        <v>1.8823529411764708E-5</v>
      </c>
      <c r="G46" s="45">
        <f t="shared" si="2"/>
        <v>6.8705882352941179E-3</v>
      </c>
      <c r="I46" t="s">
        <v>274</v>
      </c>
    </row>
    <row r="47" spans="1:9" ht="17" x14ac:dyDescent="0.2">
      <c r="A47" s="111" t="s">
        <v>11</v>
      </c>
      <c r="B47" s="31" t="s">
        <v>10</v>
      </c>
      <c r="C47" s="31">
        <v>4.4000000000000003E-3</v>
      </c>
      <c r="D47" s="44">
        <f t="shared" si="0"/>
        <v>4.1411764705882355E-4</v>
      </c>
      <c r="E47" s="34">
        <f t="shared" si="1"/>
        <v>0.1511529411764706</v>
      </c>
      <c r="F47" s="45">
        <f t="shared" si="2"/>
        <v>4.1411764705882355E-4</v>
      </c>
      <c r="G47" s="45">
        <f t="shared" si="2"/>
        <v>0.1511529411764706</v>
      </c>
    </row>
    <row r="48" spans="1:9" ht="17" x14ac:dyDescent="0.2">
      <c r="A48" s="111" t="s">
        <v>17</v>
      </c>
      <c r="B48" s="31" t="s">
        <v>16</v>
      </c>
      <c r="C48" s="31">
        <v>1.2E-5</v>
      </c>
      <c r="D48" s="44">
        <f t="shared" si="0"/>
        <v>1.1294117647058824E-6</v>
      </c>
      <c r="E48" s="34">
        <f t="shared" si="1"/>
        <v>4.1223529411764707E-4</v>
      </c>
      <c r="F48" s="45">
        <f t="shared" si="2"/>
        <v>1.1294117647058824E-6</v>
      </c>
      <c r="G48" s="45">
        <f t="shared" si="2"/>
        <v>4.1223529411764707E-4</v>
      </c>
      <c r="I48" t="s">
        <v>274</v>
      </c>
    </row>
    <row r="49" spans="1:9" ht="17" x14ac:dyDescent="0.2">
      <c r="A49" s="111" t="s">
        <v>19</v>
      </c>
      <c r="B49" s="46" t="s">
        <v>18</v>
      </c>
      <c r="C49" s="31">
        <v>1.1000000000000001E-3</v>
      </c>
      <c r="D49" s="44">
        <f t="shared" si="0"/>
        <v>1.0352941176470589E-4</v>
      </c>
      <c r="E49" s="34">
        <f t="shared" si="1"/>
        <v>3.778823529411765E-2</v>
      </c>
      <c r="F49" s="45">
        <f t="shared" si="2"/>
        <v>1.0352941176470589E-4</v>
      </c>
      <c r="G49" s="45">
        <f t="shared" si="2"/>
        <v>3.778823529411765E-2</v>
      </c>
      <c r="I49" t="s">
        <v>274</v>
      </c>
    </row>
    <row r="50" spans="1:9" ht="34" x14ac:dyDescent="0.2">
      <c r="A50" s="111" t="s">
        <v>21</v>
      </c>
      <c r="B50" s="31" t="s">
        <v>20</v>
      </c>
      <c r="C50" s="31">
        <v>1.4E-3</v>
      </c>
      <c r="D50" s="44">
        <f t="shared" si="0"/>
        <v>1.3176470588235293E-4</v>
      </c>
      <c r="E50" s="34">
        <f t="shared" si="1"/>
        <v>4.8094117647058822E-2</v>
      </c>
      <c r="F50" s="45">
        <f t="shared" si="2"/>
        <v>1.3176470588235293E-4</v>
      </c>
      <c r="G50" s="45">
        <f t="shared" si="2"/>
        <v>4.8094117647058822E-2</v>
      </c>
      <c r="I50" t="s">
        <v>274</v>
      </c>
    </row>
    <row r="51" spans="1:9" ht="17" x14ac:dyDescent="0.2">
      <c r="A51" s="111" t="s">
        <v>23</v>
      </c>
      <c r="B51" s="31" t="s">
        <v>22</v>
      </c>
      <c r="C51" s="31">
        <v>8.3999999999999995E-5</v>
      </c>
      <c r="D51" s="44">
        <f t="shared" si="0"/>
        <v>7.9058823529411759E-6</v>
      </c>
      <c r="E51" s="34">
        <f t="shared" si="1"/>
        <v>2.8856470588235292E-3</v>
      </c>
      <c r="F51" s="45">
        <f t="shared" si="2"/>
        <v>7.9058823529411759E-6</v>
      </c>
      <c r="G51" s="45">
        <f t="shared" si="2"/>
        <v>2.8856470588235292E-3</v>
      </c>
      <c r="I51" t="s">
        <v>274</v>
      </c>
    </row>
    <row r="52" spans="1:9" ht="17" x14ac:dyDescent="0.2">
      <c r="A52" s="111" t="s">
        <v>25</v>
      </c>
      <c r="B52" s="31" t="s">
        <v>24</v>
      </c>
      <c r="C52" s="31">
        <v>8.4999999999999995E-4</v>
      </c>
      <c r="D52" s="44">
        <f t="shared" si="0"/>
        <v>7.9999999999999993E-5</v>
      </c>
      <c r="E52" s="34">
        <f t="shared" si="1"/>
        <v>2.9199999999999997E-2</v>
      </c>
      <c r="F52" s="45">
        <f t="shared" si="2"/>
        <v>7.9999999999999993E-5</v>
      </c>
      <c r="G52" s="45">
        <f t="shared" si="2"/>
        <v>2.9199999999999997E-2</v>
      </c>
    </row>
    <row r="53" spans="1:9" ht="17" x14ac:dyDescent="0.2">
      <c r="A53" s="111" t="s">
        <v>27</v>
      </c>
      <c r="B53" s="31" t="s">
        <v>26</v>
      </c>
      <c r="C53" s="31">
        <v>9.4999999999999998E-3</v>
      </c>
      <c r="D53" s="44">
        <f t="shared" si="0"/>
        <v>8.9411764705882345E-4</v>
      </c>
      <c r="E53" s="34">
        <f t="shared" si="1"/>
        <v>0.32635294117647057</v>
      </c>
      <c r="F53" s="45">
        <f t="shared" si="2"/>
        <v>8.9411764705882345E-4</v>
      </c>
      <c r="G53" s="45">
        <f t="shared" si="2"/>
        <v>0.32635294117647057</v>
      </c>
      <c r="I53" t="s">
        <v>274</v>
      </c>
    </row>
    <row r="54" spans="1:9" ht="17" x14ac:dyDescent="0.2">
      <c r="A54" s="111" t="s">
        <v>32</v>
      </c>
      <c r="B54" s="31" t="s">
        <v>31</v>
      </c>
      <c r="C54" s="31">
        <v>6.3E-3</v>
      </c>
      <c r="D54" s="44">
        <f t="shared" si="0"/>
        <v>5.9294117647058818E-4</v>
      </c>
      <c r="E54" s="34">
        <f t="shared" si="1"/>
        <v>0.21642352941176471</v>
      </c>
      <c r="F54" s="45">
        <f t="shared" si="2"/>
        <v>5.9294117647058818E-4</v>
      </c>
      <c r="G54" s="45">
        <f t="shared" si="2"/>
        <v>0.21642352941176471</v>
      </c>
      <c r="I54" t="s">
        <v>274</v>
      </c>
    </row>
    <row r="55" spans="1:9" ht="17" x14ac:dyDescent="0.2">
      <c r="A55" s="111" t="s">
        <v>35</v>
      </c>
      <c r="B55" s="31" t="s">
        <v>34</v>
      </c>
      <c r="C55" s="31">
        <v>5.0000000000000001E-4</v>
      </c>
      <c r="D55" s="44">
        <f t="shared" si="0"/>
        <v>4.7058823529411767E-5</v>
      </c>
      <c r="E55" s="34">
        <f t="shared" si="1"/>
        <v>1.7176470588235293E-2</v>
      </c>
      <c r="F55" s="45">
        <f t="shared" si="2"/>
        <v>4.7058823529411767E-5</v>
      </c>
      <c r="G55" s="45">
        <f t="shared" si="2"/>
        <v>1.7176470588235293E-2</v>
      </c>
      <c r="I55" t="s">
        <v>274</v>
      </c>
    </row>
    <row r="56" spans="1:9" ht="17" x14ac:dyDescent="0.2">
      <c r="A56" s="111" t="s">
        <v>37</v>
      </c>
      <c r="B56" s="31" t="s">
        <v>36</v>
      </c>
      <c r="C56" s="31">
        <v>3.8000000000000002E-4</v>
      </c>
      <c r="D56" s="44">
        <f t="shared" si="0"/>
        <v>3.5764705882352941E-5</v>
      </c>
      <c r="E56" s="34">
        <f t="shared" si="1"/>
        <v>1.3054117647058824E-2</v>
      </c>
      <c r="F56" s="45">
        <f t="shared" si="2"/>
        <v>3.5764705882352941E-5</v>
      </c>
      <c r="G56" s="45">
        <f t="shared" si="2"/>
        <v>1.3054117647058824E-2</v>
      </c>
      <c r="I56" t="s">
        <v>274</v>
      </c>
    </row>
    <row r="57" spans="1:9" ht="17" x14ac:dyDescent="0.2">
      <c r="A57" s="111" t="s">
        <v>39</v>
      </c>
      <c r="B57" s="31" t="s">
        <v>38</v>
      </c>
      <c r="C57" s="31">
        <v>2.5999999999999998E-4</v>
      </c>
      <c r="D57" s="44">
        <f t="shared" si="0"/>
        <v>2.4470588235294114E-5</v>
      </c>
      <c r="E57" s="34">
        <f t="shared" si="1"/>
        <v>8.9317647058823526E-3</v>
      </c>
      <c r="F57" s="45">
        <f t="shared" si="2"/>
        <v>2.4470588235294114E-5</v>
      </c>
      <c r="G57" s="45">
        <f t="shared" si="2"/>
        <v>8.9317647058823526E-3</v>
      </c>
      <c r="I57" t="s">
        <v>274</v>
      </c>
    </row>
    <row r="58" spans="1:9" ht="17" x14ac:dyDescent="0.2">
      <c r="A58" s="111" t="s">
        <v>41</v>
      </c>
      <c r="B58" s="31" t="s">
        <v>40</v>
      </c>
      <c r="C58" s="31">
        <v>1.65E-3</v>
      </c>
      <c r="D58" s="44">
        <f t="shared" si="0"/>
        <v>1.5529411764705881E-4</v>
      </c>
      <c r="E58" s="34">
        <f t="shared" si="1"/>
        <v>5.6682352941176468E-2</v>
      </c>
      <c r="F58" s="45">
        <f t="shared" si="2"/>
        <v>1.5529411764705881E-4</v>
      </c>
      <c r="G58" s="45">
        <f t="shared" si="2"/>
        <v>5.6682352941176468E-2</v>
      </c>
    </row>
    <row r="59" spans="1:9" ht="17" x14ac:dyDescent="0.2">
      <c r="A59" s="111" t="s">
        <v>45</v>
      </c>
      <c r="B59" s="76">
        <v>365</v>
      </c>
      <c r="C59" s="31">
        <v>2.0999999999999999E-3</v>
      </c>
      <c r="D59" s="44">
        <f t="shared" si="0"/>
        <v>1.9764705882352939E-4</v>
      </c>
      <c r="E59" s="34">
        <f t="shared" si="1"/>
        <v>7.2141176470588222E-2</v>
      </c>
      <c r="F59" s="45">
        <f t="shared" si="2"/>
        <v>1.9764705882352939E-4</v>
      </c>
      <c r="G59" s="45">
        <f t="shared" si="2"/>
        <v>7.2141176470588222E-2</v>
      </c>
      <c r="I59" t="s">
        <v>274</v>
      </c>
    </row>
    <row r="60" spans="1:9" ht="17" x14ac:dyDescent="0.2">
      <c r="A60" s="111" t="s">
        <v>52</v>
      </c>
      <c r="B60" s="31" t="s">
        <v>51</v>
      </c>
      <c r="C60" s="31">
        <v>2.4000000000000001E-5</v>
      </c>
      <c r="D60" s="44">
        <f t="shared" si="0"/>
        <v>2.2588235294117647E-6</v>
      </c>
      <c r="E60" s="34">
        <f t="shared" si="1"/>
        <v>8.2447058823529413E-4</v>
      </c>
      <c r="F60" s="45">
        <f t="shared" si="2"/>
        <v>2.2588235294117647E-6</v>
      </c>
      <c r="G60" s="45">
        <f t="shared" si="2"/>
        <v>8.2447058823529413E-4</v>
      </c>
      <c r="I60" t="s">
        <v>274</v>
      </c>
    </row>
    <row r="61" spans="1:9" ht="17" x14ac:dyDescent="0.2">
      <c r="A61" s="111" t="s">
        <v>54</v>
      </c>
      <c r="B61" s="31" t="s">
        <v>53</v>
      </c>
      <c r="C61" s="31">
        <v>3.6600000000000001E-2</v>
      </c>
      <c r="D61" s="44">
        <f t="shared" si="0"/>
        <v>3.4447058823529413E-3</v>
      </c>
      <c r="E61" s="34">
        <f t="shared" si="1"/>
        <v>1.2573176470588234</v>
      </c>
      <c r="F61" s="45">
        <f t="shared" si="2"/>
        <v>3.4447058823529413E-3</v>
      </c>
      <c r="G61" s="45">
        <f t="shared" si="2"/>
        <v>1.2573176470588234</v>
      </c>
      <c r="I61" t="s">
        <v>274</v>
      </c>
    </row>
    <row r="62" spans="1:9" ht="17" x14ac:dyDescent="0.2">
      <c r="A62" s="111" t="s">
        <v>56</v>
      </c>
      <c r="B62" s="31" t="s">
        <v>55</v>
      </c>
      <c r="C62" s="31">
        <v>2.3E-3</v>
      </c>
      <c r="D62" s="44">
        <f t="shared" si="0"/>
        <v>2.164705882352941E-4</v>
      </c>
      <c r="E62" s="34">
        <f t="shared" si="1"/>
        <v>7.9011764705882351E-2</v>
      </c>
      <c r="F62" s="45">
        <f t="shared" si="2"/>
        <v>2.164705882352941E-4</v>
      </c>
      <c r="G62" s="45">
        <f t="shared" si="2"/>
        <v>7.9011764705882351E-2</v>
      </c>
    </row>
    <row r="63" spans="1:9" ht="34" x14ac:dyDescent="0.2">
      <c r="A63" s="111" t="s">
        <v>58</v>
      </c>
      <c r="B63" s="31" t="s">
        <v>57</v>
      </c>
      <c r="C63" s="31">
        <v>2.7199999999999998E-2</v>
      </c>
      <c r="D63" s="44">
        <f t="shared" si="0"/>
        <v>2.5599999999999998E-3</v>
      </c>
      <c r="E63" s="34">
        <f t="shared" si="1"/>
        <v>0.9343999999999999</v>
      </c>
      <c r="F63" s="45">
        <f t="shared" si="2"/>
        <v>2.5599999999999998E-3</v>
      </c>
      <c r="G63" s="45">
        <f t="shared" si="2"/>
        <v>0.9343999999999999</v>
      </c>
      <c r="I63" t="s">
        <v>274</v>
      </c>
    </row>
    <row r="64" spans="1:9" ht="17" x14ac:dyDescent="0.2">
      <c r="A64" s="111" t="s">
        <v>60</v>
      </c>
      <c r="B64" s="31" t="s">
        <v>59</v>
      </c>
      <c r="C64" s="31">
        <v>2.9000000000000001E-2</v>
      </c>
      <c r="D64" s="44">
        <f t="shared" si="0"/>
        <v>2.7294117647058825E-3</v>
      </c>
      <c r="E64" s="34">
        <f t="shared" si="1"/>
        <v>0.99623529411764711</v>
      </c>
      <c r="F64" s="45">
        <f t="shared" si="2"/>
        <v>2.7294117647058825E-3</v>
      </c>
      <c r="G64" s="45">
        <f t="shared" si="2"/>
        <v>0.99623529411764711</v>
      </c>
    </row>
    <row r="65" spans="1:10" ht="17" x14ac:dyDescent="0.2">
      <c r="A65" s="111" t="s">
        <v>90</v>
      </c>
      <c r="B65" s="31"/>
      <c r="C65" s="31"/>
      <c r="D65" s="47">
        <f>SUM(D38:D64)</f>
        <v>0.31588340705882356</v>
      </c>
      <c r="E65" s="47">
        <f>SUM(E38:E64)</f>
        <v>115.29744357647061</v>
      </c>
      <c r="F65" s="47">
        <f>SUM(F38:F64)</f>
        <v>0.31588340705882356</v>
      </c>
      <c r="G65" s="47">
        <f>SUM(G38:G64)</f>
        <v>115.29744357647061</v>
      </c>
      <c r="I65" s="53">
        <f>G65-G45-G47-G52-G58-G62-G64</f>
        <v>4.0557494588235468</v>
      </c>
      <c r="J65" s="48" t="s">
        <v>113</v>
      </c>
    </row>
    <row r="139" spans="1:8" x14ac:dyDescent="0.2">
      <c r="A139" s="281" t="s">
        <v>91</v>
      </c>
      <c r="B139" s="282"/>
      <c r="C139" s="282"/>
      <c r="D139" s="282"/>
      <c r="E139" s="283"/>
    </row>
    <row r="140" spans="1:8" x14ac:dyDescent="0.2">
      <c r="A140" s="48" t="s">
        <v>92</v>
      </c>
      <c r="B140" s="49">
        <v>1.04E-5</v>
      </c>
      <c r="C140" s="68" t="s">
        <v>93</v>
      </c>
      <c r="D140" s="51" t="s">
        <v>94</v>
      </c>
      <c r="E140" s="52" t="e">
        <f>B140*#REF!</f>
        <v>#REF!</v>
      </c>
      <c r="F140" t="s">
        <v>95</v>
      </c>
    </row>
    <row r="141" spans="1:8" x14ac:dyDescent="0.2">
      <c r="A141" s="48" t="s">
        <v>96</v>
      </c>
      <c r="B141" s="49">
        <v>1.0206E-2</v>
      </c>
      <c r="C141" s="68" t="s">
        <v>93</v>
      </c>
      <c r="D141" s="51" t="s">
        <v>94</v>
      </c>
      <c r="E141" s="52" t="e">
        <f>B141*#REF!</f>
        <v>#REF!</v>
      </c>
      <c r="F141" t="s">
        <v>95</v>
      </c>
    </row>
    <row r="142" spans="1:8" x14ac:dyDescent="0.2">
      <c r="A142" s="48" t="s">
        <v>97</v>
      </c>
      <c r="B142" s="49">
        <v>2.4700000000000001E-5</v>
      </c>
      <c r="C142" s="68" t="s">
        <v>93</v>
      </c>
      <c r="D142" s="51" t="s">
        <v>94</v>
      </c>
      <c r="E142" s="53" t="e">
        <f>B142*#REF!</f>
        <v>#REF!</v>
      </c>
      <c r="F142" t="s">
        <v>95</v>
      </c>
      <c r="G142" s="24" t="e">
        <f>SUM(E140:E142)</f>
        <v>#REF!</v>
      </c>
      <c r="H142" t="s">
        <v>95</v>
      </c>
    </row>
    <row r="143" spans="1:8" x14ac:dyDescent="0.2">
      <c r="A143" s="281" t="s">
        <v>98</v>
      </c>
      <c r="B143" s="282"/>
      <c r="C143" s="282"/>
      <c r="D143" s="282"/>
      <c r="E143" s="283"/>
      <c r="G143" t="e">
        <f>G142*1.10231</f>
        <v>#REF!</v>
      </c>
      <c r="H143" t="s">
        <v>99</v>
      </c>
    </row>
    <row r="144" spans="1:8" x14ac:dyDescent="0.2">
      <c r="A144" s="48" t="s">
        <v>13</v>
      </c>
      <c r="B144" s="49">
        <v>7.76E-4</v>
      </c>
      <c r="C144" s="68" t="s">
        <v>100</v>
      </c>
      <c r="D144" s="51" t="s">
        <v>101</v>
      </c>
      <c r="E144" s="54" t="e">
        <f>B144*#REF!*#REF!/1000000/2000</f>
        <v>#REF!</v>
      </c>
    </row>
    <row r="145" spans="1:8" x14ac:dyDescent="0.2">
      <c r="A145" s="48" t="s">
        <v>54</v>
      </c>
      <c r="B145" s="49">
        <v>2.81E-4</v>
      </c>
      <c r="C145" s="68" t="s">
        <v>100</v>
      </c>
      <c r="D145" s="51" t="s">
        <v>101</v>
      </c>
      <c r="E145" s="55" t="e">
        <f>B145*#REF!*#REF!/1000000/2000</f>
        <v>#REF!</v>
      </c>
      <c r="G145">
        <v>2490</v>
      </c>
    </row>
    <row r="146" spans="1:8" x14ac:dyDescent="0.2">
      <c r="A146" s="48" t="s">
        <v>102</v>
      </c>
      <c r="B146" s="49">
        <v>1.93E-4</v>
      </c>
      <c r="C146" s="68" t="s">
        <v>100</v>
      </c>
      <c r="D146" s="51" t="s">
        <v>101</v>
      </c>
      <c r="E146" s="55" t="e">
        <f>B146*#REF!*#REF!/1000000/2000</f>
        <v>#REF!</v>
      </c>
      <c r="G146">
        <f>G145*1.10231</f>
        <v>2744.7518999999998</v>
      </c>
      <c r="H146" t="s">
        <v>99</v>
      </c>
    </row>
    <row r="147" spans="1:8" x14ac:dyDescent="0.2">
      <c r="A147" s="48" t="s">
        <v>30</v>
      </c>
      <c r="B147" s="49">
        <v>7.8899999999999993E-5</v>
      </c>
      <c r="C147" s="68" t="s">
        <v>100</v>
      </c>
      <c r="D147" s="51" t="s">
        <v>101</v>
      </c>
      <c r="E147" s="55" t="e">
        <f>B147*#REF!*#REF!/1000000/2000</f>
        <v>#REF!</v>
      </c>
    </row>
    <row r="148" spans="1:8" x14ac:dyDescent="0.2">
      <c r="A148" s="48" t="s">
        <v>2</v>
      </c>
      <c r="B148" s="49">
        <v>2.5199999999999999E-5</v>
      </c>
      <c r="C148" s="68" t="s">
        <v>100</v>
      </c>
      <c r="D148" s="51" t="s">
        <v>101</v>
      </c>
      <c r="E148" s="56" t="e">
        <f>B148*#REF!*#REF!/1000000/2000</f>
        <v>#REF!</v>
      </c>
    </row>
    <row r="149" spans="1:8" x14ac:dyDescent="0.2">
      <c r="A149" s="48" t="s">
        <v>4</v>
      </c>
      <c r="B149" s="49">
        <v>7.8800000000000008E-6</v>
      </c>
      <c r="C149" s="68" t="s">
        <v>100</v>
      </c>
      <c r="D149" s="51" t="s">
        <v>101</v>
      </c>
      <c r="E149" s="56" t="e">
        <f>B149*#REF!*#REF!/1000000/2000</f>
        <v>#REF!</v>
      </c>
    </row>
    <row r="150" spans="1:8" x14ac:dyDescent="0.2">
      <c r="A150" s="48" t="s">
        <v>103</v>
      </c>
      <c r="B150" s="49">
        <v>1.2999999999999999E-4</v>
      </c>
      <c r="C150" s="68" t="s">
        <v>100</v>
      </c>
      <c r="D150" s="51" t="s">
        <v>101</v>
      </c>
      <c r="E150" s="55" t="e">
        <f>B150*#REF!*#REF!/1000000/2000</f>
        <v>#REF!</v>
      </c>
    </row>
    <row r="151" spans="1:8" x14ac:dyDescent="0.2">
      <c r="A151" s="48" t="s">
        <v>104</v>
      </c>
      <c r="B151" s="49">
        <v>2.12E-4</v>
      </c>
      <c r="C151" s="68" t="s">
        <v>100</v>
      </c>
      <c r="D151" s="51" t="s">
        <v>101</v>
      </c>
      <c r="E151" s="55" t="e">
        <f>B151*#REF!*#REF!/1000000/2000</f>
        <v>#REF!</v>
      </c>
    </row>
    <row r="152" spans="1:8" x14ac:dyDescent="0.2">
      <c r="A152" s="48" t="s">
        <v>105</v>
      </c>
      <c r="B152" s="49"/>
      <c r="C152" s="68"/>
      <c r="D152" s="48"/>
      <c r="E152" s="54" t="e">
        <f>SUM(E144:E151)</f>
        <v>#REF!</v>
      </c>
    </row>
    <row r="153" spans="1:8" x14ac:dyDescent="0.2">
      <c r="B153" s="57"/>
      <c r="C153" s="3"/>
      <c r="E153" s="24"/>
    </row>
    <row r="154" spans="1:8" x14ac:dyDescent="0.2">
      <c r="A154" t="s">
        <v>106</v>
      </c>
      <c r="B154" s="57"/>
      <c r="C154" s="3"/>
      <c r="E154" s="24"/>
    </row>
    <row r="155" spans="1:8" x14ac:dyDescent="0.2">
      <c r="A155" t="s">
        <v>107</v>
      </c>
      <c r="B155" s="57"/>
      <c r="C155" s="3"/>
      <c r="E155" s="24"/>
    </row>
    <row r="156" spans="1:8" x14ac:dyDescent="0.2">
      <c r="A156" t="s">
        <v>108</v>
      </c>
      <c r="B156" s="57"/>
      <c r="C156" s="3"/>
      <c r="E156" s="24"/>
    </row>
    <row r="157" spans="1:8" x14ac:dyDescent="0.2">
      <c r="A157" t="s">
        <v>109</v>
      </c>
      <c r="B157" s="57"/>
      <c r="C157" s="3"/>
      <c r="E157" s="24"/>
    </row>
    <row r="158" spans="1:8" x14ac:dyDescent="0.2">
      <c r="A158" t="s">
        <v>110</v>
      </c>
      <c r="B158" s="57"/>
      <c r="C158" s="3"/>
      <c r="E158" s="24"/>
    </row>
    <row r="160" spans="1:8" x14ac:dyDescent="0.2">
      <c r="A160" s="58" t="s">
        <v>111</v>
      </c>
    </row>
    <row r="162" spans="1:7" x14ac:dyDescent="0.2">
      <c r="A162" s="68" t="s">
        <v>78</v>
      </c>
      <c r="B162" s="68" t="s">
        <v>79</v>
      </c>
      <c r="C162" s="68" t="s">
        <v>80</v>
      </c>
      <c r="D162" s="68" t="s">
        <v>81</v>
      </c>
      <c r="E162" s="68" t="s">
        <v>82</v>
      </c>
      <c r="F162" s="59" t="s">
        <v>112</v>
      </c>
      <c r="G162" s="68" t="s">
        <v>113</v>
      </c>
    </row>
    <row r="163" spans="1:7" x14ac:dyDescent="0.2">
      <c r="A163" s="270" t="s">
        <v>62</v>
      </c>
      <c r="B163" s="284"/>
      <c r="C163" s="284"/>
      <c r="D163" s="284"/>
      <c r="E163" s="284"/>
      <c r="F163" s="284"/>
      <c r="G163" s="271"/>
    </row>
    <row r="164" spans="1:7" x14ac:dyDescent="0.2">
      <c r="A164" s="60" t="e">
        <f>#REF!</f>
        <v>#REF!</v>
      </c>
      <c r="B164" s="60" t="e">
        <f>#REF!</f>
        <v>#REF!</v>
      </c>
      <c r="C164" s="60" t="e">
        <f>#REF!</f>
        <v>#REF!</v>
      </c>
      <c r="D164" s="61" t="e">
        <f>#REF!</f>
        <v>#REF!</v>
      </c>
      <c r="E164" s="61" t="e">
        <f>#REF!</f>
        <v>#REF!</v>
      </c>
      <c r="F164" s="60" t="e">
        <f>SUM(E140:E142)</f>
        <v>#REF!</v>
      </c>
      <c r="G164" s="54" t="e">
        <f>E152</f>
        <v>#REF!</v>
      </c>
    </row>
    <row r="168" spans="1:7" ht="24" x14ac:dyDescent="0.3">
      <c r="A168" s="62"/>
      <c r="C168" s="12"/>
      <c r="D168" s="12"/>
      <c r="E168" s="12"/>
      <c r="F168" s="13"/>
    </row>
    <row r="169" spans="1:7" ht="24" x14ac:dyDescent="0.3">
      <c r="A169" s="62"/>
      <c r="C169" s="12"/>
      <c r="D169" s="12"/>
      <c r="E169" s="12"/>
      <c r="F169" s="13"/>
    </row>
    <row r="170" spans="1:7" ht="24" x14ac:dyDescent="0.3">
      <c r="A170" s="62"/>
      <c r="C170" s="12"/>
      <c r="D170" s="12"/>
      <c r="E170" s="12"/>
      <c r="F170" s="13"/>
    </row>
    <row r="171" spans="1:7" ht="24" x14ac:dyDescent="0.3">
      <c r="A171" s="62"/>
      <c r="C171" s="12"/>
      <c r="D171" s="12"/>
      <c r="E171" s="12"/>
      <c r="F171" s="13"/>
    </row>
    <row r="172" spans="1:7" ht="24" x14ac:dyDescent="0.3">
      <c r="A172" s="62"/>
      <c r="C172" s="12"/>
      <c r="D172" s="12"/>
      <c r="E172" s="12"/>
      <c r="F172" s="13"/>
    </row>
    <row r="173" spans="1:7" ht="24" x14ac:dyDescent="0.3">
      <c r="A173" s="62"/>
      <c r="C173" s="12"/>
      <c r="D173" s="12"/>
      <c r="E173" s="12"/>
      <c r="F173" s="13"/>
    </row>
    <row r="174" spans="1:7" ht="24" x14ac:dyDescent="0.3">
      <c r="A174" s="62"/>
      <c r="C174" s="12"/>
      <c r="D174" s="12"/>
      <c r="E174" s="12"/>
      <c r="F174" s="13"/>
    </row>
    <row r="175" spans="1:7" ht="24" x14ac:dyDescent="0.3">
      <c r="A175" s="62"/>
      <c r="B175" s="11"/>
      <c r="C175" s="12"/>
      <c r="D175" s="12"/>
      <c r="E175" s="12"/>
      <c r="F175" s="13"/>
    </row>
    <row r="177" spans="1:6" x14ac:dyDescent="0.2">
      <c r="A177" s="58"/>
    </row>
    <row r="178" spans="1:6" x14ac:dyDescent="0.2">
      <c r="A178" s="58"/>
    </row>
    <row r="179" spans="1:6" x14ac:dyDescent="0.2">
      <c r="A179" t="s">
        <v>114</v>
      </c>
      <c r="B179" s="22">
        <v>624500</v>
      </c>
      <c r="C179" t="s">
        <v>115</v>
      </c>
    </row>
    <row r="180" spans="1:6" x14ac:dyDescent="0.2">
      <c r="A180" t="s">
        <v>116</v>
      </c>
      <c r="B180" s="22">
        <v>138000</v>
      </c>
      <c r="C180" t="s">
        <v>117</v>
      </c>
    </row>
    <row r="182" spans="1:6" ht="20" customHeight="1" x14ac:dyDescent="0.2">
      <c r="A182" s="285" t="s">
        <v>76</v>
      </c>
      <c r="B182" s="286" t="s">
        <v>118</v>
      </c>
      <c r="C182" s="286"/>
      <c r="D182" s="286"/>
      <c r="E182" s="287" t="s">
        <v>119</v>
      </c>
    </row>
    <row r="183" spans="1:6" ht="31" customHeight="1" x14ac:dyDescent="0.2">
      <c r="A183" s="285"/>
      <c r="B183" s="68" t="s">
        <v>120</v>
      </c>
      <c r="C183" s="68" t="s">
        <v>121</v>
      </c>
      <c r="D183" s="68" t="s">
        <v>0</v>
      </c>
      <c r="E183" s="288"/>
    </row>
    <row r="184" spans="1:6" ht="17" customHeight="1" x14ac:dyDescent="0.2">
      <c r="A184" s="278" t="s">
        <v>122</v>
      </c>
      <c r="B184" s="279"/>
      <c r="C184" s="279"/>
      <c r="D184" s="279"/>
      <c r="E184" s="280"/>
    </row>
    <row r="185" spans="1:6" x14ac:dyDescent="0.2">
      <c r="A185" s="48" t="s">
        <v>78</v>
      </c>
      <c r="B185" s="49" t="e">
        <f>#REF!</f>
        <v>#REF!</v>
      </c>
      <c r="C185" s="68" t="s">
        <v>123</v>
      </c>
      <c r="D185" s="51" t="s">
        <v>124</v>
      </c>
      <c r="E185" s="52" t="e">
        <f>B185*$B$179/2000</f>
        <v>#REF!</v>
      </c>
    </row>
    <row r="186" spans="1:6" x14ac:dyDescent="0.2">
      <c r="A186" s="48" t="s">
        <v>79</v>
      </c>
      <c r="B186" s="49" t="e">
        <f>#REF!</f>
        <v>#REF!</v>
      </c>
      <c r="C186" s="68" t="s">
        <v>123</v>
      </c>
      <c r="D186" s="51" t="s">
        <v>124</v>
      </c>
      <c r="E186" s="52" t="e">
        <f>B186*$B$179/2000</f>
        <v>#REF!</v>
      </c>
    </row>
    <row r="187" spans="1:6" x14ac:dyDescent="0.2">
      <c r="A187" s="48" t="s">
        <v>80</v>
      </c>
      <c r="B187" s="49" t="e">
        <f>#REF!</f>
        <v>#REF!</v>
      </c>
      <c r="C187" s="68" t="s">
        <v>123</v>
      </c>
      <c r="D187" s="51" t="s">
        <v>124</v>
      </c>
      <c r="E187" s="53" t="e">
        <f>B187*$B$179/2000</f>
        <v>#REF!</v>
      </c>
    </row>
    <row r="188" spans="1:6" x14ac:dyDescent="0.2">
      <c r="A188" s="48" t="s">
        <v>81</v>
      </c>
      <c r="B188" s="49" t="e">
        <f>#REF!</f>
        <v>#REF!</v>
      </c>
      <c r="C188" s="68" t="s">
        <v>123</v>
      </c>
      <c r="D188" s="51" t="s">
        <v>124</v>
      </c>
      <c r="E188" s="53" t="e">
        <f>B188*$B$179/2000</f>
        <v>#REF!</v>
      </c>
    </row>
    <row r="189" spans="1:6" x14ac:dyDescent="0.2">
      <c r="A189" s="48" t="s">
        <v>82</v>
      </c>
      <c r="B189" s="49" t="e">
        <f>#REF!</f>
        <v>#REF!</v>
      </c>
      <c r="C189" s="68" t="s">
        <v>123</v>
      </c>
      <c r="D189" s="51" t="s">
        <v>124</v>
      </c>
      <c r="E189" s="53" t="e">
        <f>B189*$B$179/2000</f>
        <v>#REF!</v>
      </c>
    </row>
    <row r="190" spans="1:6" x14ac:dyDescent="0.2">
      <c r="A190" s="48" t="s">
        <v>125</v>
      </c>
      <c r="B190" s="49">
        <v>8.3000000000000001E-3</v>
      </c>
      <c r="C190" s="68" t="s">
        <v>126</v>
      </c>
      <c r="D190" s="51" t="s">
        <v>127</v>
      </c>
      <c r="E190" s="55">
        <f>B190*B179/1000/2000</f>
        <v>2.5916750000000003E-3</v>
      </c>
    </row>
    <row r="191" spans="1:6" x14ac:dyDescent="0.2">
      <c r="A191" s="281" t="s">
        <v>91</v>
      </c>
      <c r="B191" s="282"/>
      <c r="C191" s="282"/>
      <c r="D191" s="282"/>
      <c r="E191" s="283"/>
    </row>
    <row r="192" spans="1:6" x14ac:dyDescent="0.2">
      <c r="A192" s="48" t="s">
        <v>92</v>
      </c>
      <c r="B192" s="49">
        <v>1.04E-5</v>
      </c>
      <c r="C192" s="68" t="s">
        <v>93</v>
      </c>
      <c r="D192" s="51" t="s">
        <v>94</v>
      </c>
      <c r="E192" s="52">
        <f>B192*$B$179</f>
        <v>6.4948000000000006</v>
      </c>
      <c r="F192" t="s">
        <v>95</v>
      </c>
    </row>
    <row r="193" spans="1:6" x14ac:dyDescent="0.2">
      <c r="A193" s="48" t="s">
        <v>96</v>
      </c>
      <c r="B193" s="49">
        <v>1.0206E-2</v>
      </c>
      <c r="C193" s="68" t="s">
        <v>93</v>
      </c>
      <c r="D193" s="51" t="s">
        <v>94</v>
      </c>
      <c r="E193" s="65">
        <f>B193*$B$179</f>
        <v>6373.6469999999999</v>
      </c>
      <c r="F193" t="s">
        <v>95</v>
      </c>
    </row>
    <row r="194" spans="1:6" x14ac:dyDescent="0.2">
      <c r="A194" s="48" t="s">
        <v>97</v>
      </c>
      <c r="B194" s="49">
        <v>2.4700000000000001E-5</v>
      </c>
      <c r="C194" s="68" t="s">
        <v>93</v>
      </c>
      <c r="D194" s="51" t="s">
        <v>94</v>
      </c>
      <c r="E194" s="52">
        <f>B194*$B$179</f>
        <v>15.42515</v>
      </c>
      <c r="F194" t="s">
        <v>95</v>
      </c>
    </row>
    <row r="195" spans="1:6" x14ac:dyDescent="0.2">
      <c r="A195" s="281" t="s">
        <v>98</v>
      </c>
      <c r="B195" s="282"/>
      <c r="C195" s="282"/>
      <c r="D195" s="282"/>
      <c r="E195" s="283"/>
    </row>
    <row r="196" spans="1:6" x14ac:dyDescent="0.2">
      <c r="A196" s="48" t="s">
        <v>13</v>
      </c>
      <c r="B196" s="49">
        <v>7.76E-4</v>
      </c>
      <c r="C196" s="68" t="s">
        <v>100</v>
      </c>
      <c r="D196" s="51" t="s">
        <v>101</v>
      </c>
      <c r="E196" s="54">
        <f t="shared" ref="E196:E203" si="3">B196*$B$179*$B$180/1000000/2000</f>
        <v>3.3438228E-2</v>
      </c>
    </row>
    <row r="197" spans="1:6" x14ac:dyDescent="0.2">
      <c r="A197" s="48" t="s">
        <v>54</v>
      </c>
      <c r="B197" s="49">
        <v>2.81E-4</v>
      </c>
      <c r="C197" s="68" t="s">
        <v>100</v>
      </c>
      <c r="D197" s="51" t="s">
        <v>101</v>
      </c>
      <c r="E197" s="55">
        <f t="shared" si="3"/>
        <v>1.2108430500000001E-2</v>
      </c>
    </row>
    <row r="198" spans="1:6" x14ac:dyDescent="0.2">
      <c r="A198" s="48" t="s">
        <v>102</v>
      </c>
      <c r="B198" s="49">
        <v>1.93E-4</v>
      </c>
      <c r="C198" s="68" t="s">
        <v>100</v>
      </c>
      <c r="D198" s="51" t="s">
        <v>101</v>
      </c>
      <c r="E198" s="55">
        <f t="shared" si="3"/>
        <v>8.3164665000000013E-3</v>
      </c>
    </row>
    <row r="199" spans="1:6" x14ac:dyDescent="0.2">
      <c r="A199" s="48" t="s">
        <v>30</v>
      </c>
      <c r="B199" s="49">
        <v>7.8899999999999993E-5</v>
      </c>
      <c r="C199" s="68" t="s">
        <v>100</v>
      </c>
      <c r="D199" s="51" t="s">
        <v>101</v>
      </c>
      <c r="E199" s="55">
        <f t="shared" si="3"/>
        <v>3.3998404499999998E-3</v>
      </c>
    </row>
    <row r="200" spans="1:6" x14ac:dyDescent="0.2">
      <c r="A200" s="48" t="s">
        <v>2</v>
      </c>
      <c r="B200" s="49">
        <v>2.5199999999999999E-5</v>
      </c>
      <c r="C200" s="68" t="s">
        <v>100</v>
      </c>
      <c r="D200" s="51" t="s">
        <v>101</v>
      </c>
      <c r="E200" s="56">
        <f t="shared" si="3"/>
        <v>1.0858805999999998E-3</v>
      </c>
    </row>
    <row r="201" spans="1:6" x14ac:dyDescent="0.2">
      <c r="A201" s="48" t="s">
        <v>4</v>
      </c>
      <c r="B201" s="49">
        <v>7.8800000000000008E-6</v>
      </c>
      <c r="C201" s="68" t="s">
        <v>100</v>
      </c>
      <c r="D201" s="51" t="s">
        <v>101</v>
      </c>
      <c r="E201" s="56">
        <f t="shared" si="3"/>
        <v>3.3955314000000007E-4</v>
      </c>
    </row>
    <row r="202" spans="1:6" x14ac:dyDescent="0.2">
      <c r="A202" s="48" t="s">
        <v>103</v>
      </c>
      <c r="B202" s="49">
        <v>1.2999999999999999E-4</v>
      </c>
      <c r="C202" s="68" t="s">
        <v>100</v>
      </c>
      <c r="D202" s="51" t="s">
        <v>101</v>
      </c>
      <c r="E202" s="55">
        <f t="shared" si="3"/>
        <v>5.6017649999999999E-3</v>
      </c>
    </row>
    <row r="203" spans="1:6" x14ac:dyDescent="0.2">
      <c r="A203" s="48" t="s">
        <v>104</v>
      </c>
      <c r="B203" s="49">
        <v>2.12E-4</v>
      </c>
      <c r="C203" s="68" t="s">
        <v>100</v>
      </c>
      <c r="D203" s="51" t="s">
        <v>101</v>
      </c>
      <c r="E203" s="55">
        <f t="shared" si="3"/>
        <v>9.135186E-3</v>
      </c>
    </row>
    <row r="204" spans="1:6" x14ac:dyDescent="0.2">
      <c r="A204" s="48" t="s">
        <v>105</v>
      </c>
      <c r="B204" s="49"/>
      <c r="C204" s="68"/>
      <c r="D204" s="48"/>
      <c r="E204" s="54">
        <f>SUM(E196:E203)</f>
        <v>7.3425350190000002E-2</v>
      </c>
    </row>
    <row r="205" spans="1:6" x14ac:dyDescent="0.2">
      <c r="B205" s="57"/>
      <c r="C205" s="3"/>
      <c r="E205" s="24"/>
    </row>
    <row r="206" spans="1:6" x14ac:dyDescent="0.2">
      <c r="A206" t="s">
        <v>106</v>
      </c>
      <c r="B206" s="57"/>
      <c r="C206" s="3"/>
      <c r="E206" s="24"/>
    </row>
    <row r="207" spans="1:6" x14ac:dyDescent="0.2">
      <c r="A207" t="s">
        <v>107</v>
      </c>
      <c r="B207" s="57"/>
      <c r="C207" s="3"/>
      <c r="E207" s="24"/>
    </row>
    <row r="208" spans="1:6" x14ac:dyDescent="0.2">
      <c r="A208" t="s">
        <v>108</v>
      </c>
      <c r="B208" s="57"/>
      <c r="C208" s="3"/>
      <c r="E208" s="24"/>
    </row>
    <row r="209" spans="1:7" x14ac:dyDescent="0.2">
      <c r="A209" t="s">
        <v>109</v>
      </c>
      <c r="B209" s="57"/>
      <c r="C209" s="3"/>
      <c r="E209" s="24"/>
    </row>
    <row r="210" spans="1:7" x14ac:dyDescent="0.2">
      <c r="B210" s="57"/>
      <c r="C210" s="3"/>
      <c r="E210" s="24"/>
    </row>
    <row r="212" spans="1:7" x14ac:dyDescent="0.2">
      <c r="A212" s="58" t="s">
        <v>128</v>
      </c>
    </row>
    <row r="214" spans="1:7" x14ac:dyDescent="0.2">
      <c r="A214" s="68" t="s">
        <v>78</v>
      </c>
      <c r="B214" s="68" t="s">
        <v>79</v>
      </c>
      <c r="C214" s="68" t="s">
        <v>80</v>
      </c>
      <c r="D214" s="68" t="s">
        <v>81</v>
      </c>
      <c r="E214" s="68" t="s">
        <v>82</v>
      </c>
      <c r="F214" s="59" t="s">
        <v>112</v>
      </c>
      <c r="G214" s="68" t="s">
        <v>113</v>
      </c>
    </row>
    <row r="215" spans="1:7" x14ac:dyDescent="0.2">
      <c r="A215" s="270" t="s">
        <v>62</v>
      </c>
      <c r="B215" s="284"/>
      <c r="C215" s="284"/>
      <c r="D215" s="284"/>
      <c r="E215" s="284"/>
      <c r="F215" s="284"/>
      <c r="G215" s="271"/>
    </row>
    <row r="216" spans="1:7" x14ac:dyDescent="0.2">
      <c r="A216" s="60" t="e">
        <f>E185</f>
        <v>#REF!</v>
      </c>
      <c r="B216" s="60" t="e">
        <f>E186</f>
        <v>#REF!</v>
      </c>
      <c r="C216" s="60" t="e">
        <f>E187</f>
        <v>#REF!</v>
      </c>
      <c r="D216" s="61" t="e">
        <f>E188</f>
        <v>#REF!</v>
      </c>
      <c r="E216" s="61" t="e">
        <f>E189</f>
        <v>#REF!</v>
      </c>
      <c r="F216" s="60">
        <f>SUM(E192:E194)</f>
        <v>6395.5669500000004</v>
      </c>
      <c r="G216" s="54">
        <f>E204</f>
        <v>7.3425350190000002E-2</v>
      </c>
    </row>
  </sheetData>
  <mergeCells count="14">
    <mergeCell ref="A143:E143"/>
    <mergeCell ref="A21:C21"/>
    <mergeCell ref="A30:C30"/>
    <mergeCell ref="A36:E36"/>
    <mergeCell ref="F36:G36"/>
    <mergeCell ref="A139:E139"/>
    <mergeCell ref="A195:E195"/>
    <mergeCell ref="A215:G215"/>
    <mergeCell ref="A163:G163"/>
    <mergeCell ref="A182:A183"/>
    <mergeCell ref="B182:D182"/>
    <mergeCell ref="E182:E183"/>
    <mergeCell ref="A184:E184"/>
    <mergeCell ref="A191:E191"/>
  </mergeCells>
  <pageMargins left="0.7" right="0.7" top="0.75" bottom="0.75" header="0.3" footer="0.3"/>
  <pageSetup orientation="portrait" horizontalDpi="0" verticalDpi="0"/>
  <drawing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EAD3E-2F08-9349-84D6-C27CA120F164}">
  <sheetPr>
    <tabColor rgb="FF00B0F0"/>
    <pageSetUpPr fitToPage="1"/>
  </sheetPr>
  <dimension ref="A3:O37"/>
  <sheetViews>
    <sheetView zoomScale="110" zoomScaleNormal="110" workbookViewId="0">
      <selection activeCell="O20" sqref="O20"/>
    </sheetView>
  </sheetViews>
  <sheetFormatPr baseColWidth="10" defaultRowHeight="16" x14ac:dyDescent="0.2"/>
  <cols>
    <col min="1" max="1" width="18.5" customWidth="1"/>
    <col min="2" max="2" width="13.6640625" customWidth="1"/>
    <col min="3" max="3" width="15.83203125" customWidth="1"/>
    <col min="4" max="4" width="10.6640625" customWidth="1"/>
    <col min="5" max="5" width="9.1640625" customWidth="1"/>
    <col min="6" max="6" width="9.5" customWidth="1"/>
    <col min="7" max="7" width="11.83203125" customWidth="1"/>
    <col min="8" max="8" width="9.5" customWidth="1"/>
    <col min="9" max="9" width="10.83203125" customWidth="1"/>
    <col min="11" max="11" width="12.6640625" customWidth="1"/>
  </cols>
  <sheetData>
    <row r="3" spans="1:5" ht="20" x14ac:dyDescent="0.2">
      <c r="A3" s="83" t="s">
        <v>290</v>
      </c>
    </row>
    <row r="6" spans="1:5" ht="19" x14ac:dyDescent="0.25">
      <c r="A6" s="1" t="s">
        <v>161</v>
      </c>
    </row>
    <row r="8" spans="1:5" x14ac:dyDescent="0.2">
      <c r="A8" s="98" t="s">
        <v>365</v>
      </c>
      <c r="B8" s="112">
        <v>89219.33085501859</v>
      </c>
      <c r="C8" s="113" t="s">
        <v>115</v>
      </c>
      <c r="D8" s="249">
        <v>488.8730457809238</v>
      </c>
      <c r="E8" s="113" t="s">
        <v>366</v>
      </c>
    </row>
    <row r="9" spans="1:5" x14ac:dyDescent="0.2">
      <c r="A9" s="114" t="s">
        <v>205</v>
      </c>
      <c r="B9" s="115">
        <f>32354*2</f>
        <v>64708</v>
      </c>
      <c r="C9" s="116" t="s">
        <v>115</v>
      </c>
      <c r="D9" s="250">
        <v>354.56438356164381</v>
      </c>
      <c r="E9" s="116" t="s">
        <v>366</v>
      </c>
    </row>
    <row r="10" spans="1:5" x14ac:dyDescent="0.2">
      <c r="A10" s="114" t="s">
        <v>220</v>
      </c>
      <c r="B10" s="115">
        <f>12256*2</f>
        <v>24512</v>
      </c>
      <c r="C10" s="116" t="s">
        <v>115</v>
      </c>
      <c r="D10" s="250">
        <v>134.31232876712329</v>
      </c>
      <c r="E10" s="116" t="s">
        <v>366</v>
      </c>
    </row>
    <row r="11" spans="1:5" x14ac:dyDescent="0.2">
      <c r="A11" s="117" t="s">
        <v>221</v>
      </c>
      <c r="B11" s="118">
        <f>100*3</f>
        <v>300</v>
      </c>
      <c r="C11" s="119" t="s">
        <v>115</v>
      </c>
      <c r="D11" s="251">
        <v>8.2191780821917799</v>
      </c>
      <c r="E11" s="119" t="s">
        <v>366</v>
      </c>
    </row>
    <row r="12" spans="1:5" x14ac:dyDescent="0.2">
      <c r="A12" t="s">
        <v>256</v>
      </c>
      <c r="B12" s="27"/>
    </row>
    <row r="13" spans="1:5" x14ac:dyDescent="0.2">
      <c r="B13" s="27"/>
    </row>
    <row r="14" spans="1:5" x14ac:dyDescent="0.2">
      <c r="A14" s="98" t="s">
        <v>218</v>
      </c>
      <c r="B14" s="120">
        <v>8760</v>
      </c>
      <c r="C14" s="113" t="s">
        <v>219</v>
      </c>
    </row>
    <row r="15" spans="1:5" x14ac:dyDescent="0.2">
      <c r="A15" s="5"/>
      <c r="B15" s="118">
        <v>24</v>
      </c>
      <c r="C15" s="119" t="s">
        <v>237</v>
      </c>
    </row>
    <row r="16" spans="1:5" x14ac:dyDescent="0.2">
      <c r="A16" s="252" t="s">
        <v>369</v>
      </c>
      <c r="B16" s="253">
        <v>2</v>
      </c>
      <c r="C16" s="254" t="s">
        <v>367</v>
      </c>
    </row>
    <row r="17" spans="1:14" x14ac:dyDescent="0.2">
      <c r="A17" s="5"/>
      <c r="B17" s="255">
        <v>10</v>
      </c>
      <c r="C17" s="256" t="s">
        <v>368</v>
      </c>
    </row>
    <row r="19" spans="1:14" ht="19" x14ac:dyDescent="0.25">
      <c r="A19" s="1" t="s">
        <v>162</v>
      </c>
    </row>
    <row r="20" spans="1:14" ht="16" customHeight="1" x14ac:dyDescent="0.2">
      <c r="A20" s="79"/>
      <c r="B20" s="78"/>
      <c r="C20" s="78"/>
      <c r="D20" s="78"/>
      <c r="E20" s="78"/>
      <c r="F20" s="78"/>
      <c r="G20" s="78"/>
    </row>
    <row r="21" spans="1:14" x14ac:dyDescent="0.2">
      <c r="A21" s="79" t="s">
        <v>160</v>
      </c>
      <c r="B21" s="80"/>
      <c r="C21" s="257" t="s">
        <v>156</v>
      </c>
      <c r="D21" s="258"/>
      <c r="E21" s="258"/>
      <c r="F21" s="258"/>
      <c r="G21" s="258"/>
      <c r="H21" s="258"/>
      <c r="I21" s="259"/>
      <c r="J21" s="8"/>
    </row>
    <row r="22" spans="1:14" ht="50" customHeight="1" x14ac:dyDescent="0.2">
      <c r="A22" s="90" t="s">
        <v>76</v>
      </c>
      <c r="B22" s="91" t="s">
        <v>242</v>
      </c>
      <c r="C22" s="91" t="s">
        <v>300</v>
      </c>
      <c r="D22" s="91" t="s">
        <v>370</v>
      </c>
      <c r="E22" s="91" t="s">
        <v>301</v>
      </c>
      <c r="F22" s="91" t="s">
        <v>302</v>
      </c>
      <c r="G22" s="91" t="s">
        <v>159</v>
      </c>
      <c r="H22" s="91" t="s">
        <v>157</v>
      </c>
      <c r="I22" s="91" t="s">
        <v>158</v>
      </c>
      <c r="J22" s="78"/>
    </row>
    <row r="23" spans="1:14" ht="22" customHeight="1" x14ac:dyDescent="0.2">
      <c r="A23" s="100" t="s">
        <v>80</v>
      </c>
      <c r="B23" s="51" t="s">
        <v>205</v>
      </c>
      <c r="C23" s="212">
        <f>B9</f>
        <v>64708</v>
      </c>
      <c r="D23" s="212">
        <f>D9</f>
        <v>354.56438356164381</v>
      </c>
      <c r="E23" s="214">
        <f>1.05*8.34</f>
        <v>8.7569999999999997</v>
      </c>
      <c r="F23" s="215">
        <v>0.02</v>
      </c>
      <c r="G23" s="142">
        <f>D23*E23*F23</f>
        <v>62.098406136986299</v>
      </c>
      <c r="H23" s="149">
        <f>C23*E23*F23</f>
        <v>11332.95912</v>
      </c>
      <c r="I23" s="142">
        <f>H23/2000</f>
        <v>5.66647956</v>
      </c>
      <c r="J23" s="12"/>
    </row>
    <row r="24" spans="1:14" x14ac:dyDescent="0.2">
      <c r="A24" s="101"/>
      <c r="B24" s="128" t="s">
        <v>220</v>
      </c>
      <c r="C24" s="212">
        <f>B10</f>
        <v>24512</v>
      </c>
      <c r="D24" s="212">
        <f>D10</f>
        <v>134.31232876712329</v>
      </c>
      <c r="E24" s="214">
        <f>1.361*8.34</f>
        <v>11.35074</v>
      </c>
      <c r="F24" s="215">
        <v>9.4399999999999998E-2</v>
      </c>
      <c r="G24" s="142">
        <f t="shared" ref="G24:G25" si="0">D24*E24*F24</f>
        <v>143.91698405628492</v>
      </c>
      <c r="H24" s="149">
        <f>C24*E24*F24</f>
        <v>26264.849590271999</v>
      </c>
      <c r="I24" s="142">
        <f>H24/2000</f>
        <v>13.132424795136</v>
      </c>
      <c r="J24" s="12"/>
    </row>
    <row r="25" spans="1:14" x14ac:dyDescent="0.2">
      <c r="A25" s="102"/>
      <c r="B25" s="128" t="s">
        <v>222</v>
      </c>
      <c r="C25" s="213">
        <f>B11</f>
        <v>300</v>
      </c>
      <c r="D25" s="212">
        <f>D11</f>
        <v>8.2191780821917799</v>
      </c>
      <c r="E25" s="154">
        <f>0.895*8.34</f>
        <v>7.4642999999999997</v>
      </c>
      <c r="F25" s="215">
        <v>1</v>
      </c>
      <c r="G25" s="142">
        <f t="shared" si="0"/>
        <v>61.350410958904099</v>
      </c>
      <c r="H25" s="149">
        <f>C25*E25*F25</f>
        <v>2239.29</v>
      </c>
      <c r="I25" s="142">
        <f>H25/2000</f>
        <v>1.119645</v>
      </c>
      <c r="J25" s="12"/>
      <c r="M25" s="160"/>
      <c r="N25" s="160"/>
    </row>
    <row r="26" spans="1:14" x14ac:dyDescent="0.2">
      <c r="A26" s="130" t="s">
        <v>303</v>
      </c>
      <c r="B26" s="6"/>
      <c r="C26" s="6"/>
      <c r="D26" s="6"/>
      <c r="E26" s="6"/>
      <c r="F26" s="6"/>
      <c r="G26" s="96"/>
      <c r="H26" s="97"/>
      <c r="I26" s="103">
        <f>SUM(I23:I25)</f>
        <v>19.918549355135998</v>
      </c>
      <c r="J26" s="12"/>
      <c r="K26" s="150"/>
    </row>
    <row r="27" spans="1:14" x14ac:dyDescent="0.2">
      <c r="A27" s="94"/>
      <c r="B27" s="3"/>
      <c r="C27" s="3"/>
      <c r="D27" s="3"/>
      <c r="E27" s="3"/>
    </row>
    <row r="28" spans="1:14" x14ac:dyDescent="0.2">
      <c r="A28" s="94"/>
      <c r="B28" s="3"/>
      <c r="C28" s="3"/>
      <c r="D28" s="3"/>
      <c r="E28" s="3"/>
    </row>
    <row r="29" spans="1:14" x14ac:dyDescent="0.2">
      <c r="A29" s="77" t="s">
        <v>255</v>
      </c>
      <c r="B29" s="3"/>
      <c r="C29" s="3"/>
      <c r="D29" s="3"/>
      <c r="E29" s="3"/>
    </row>
    <row r="30" spans="1:14" ht="51" x14ac:dyDescent="0.2">
      <c r="A30" s="90" t="s">
        <v>242</v>
      </c>
      <c r="B30" s="126" t="s">
        <v>223</v>
      </c>
      <c r="C30" s="126" t="s">
        <v>89</v>
      </c>
      <c r="D30" s="91" t="s">
        <v>243</v>
      </c>
      <c r="E30" s="91" t="s">
        <v>224</v>
      </c>
      <c r="F30" s="91" t="s">
        <v>238</v>
      </c>
      <c r="G30" s="91" t="s">
        <v>215</v>
      </c>
    </row>
    <row r="31" spans="1:14" ht="32" x14ac:dyDescent="0.2">
      <c r="A31" s="48" t="s">
        <v>205</v>
      </c>
      <c r="B31" s="199" t="s">
        <v>206</v>
      </c>
      <c r="C31" s="128" t="s">
        <v>49</v>
      </c>
      <c r="D31" s="132">
        <v>0.03</v>
      </c>
      <c r="E31" s="142">
        <f>1.05*8.34</f>
        <v>8.7569999999999997</v>
      </c>
      <c r="F31" s="55">
        <f>D9*E31*D31</f>
        <v>93.147609205479441</v>
      </c>
      <c r="G31" s="140">
        <f>D31*E31*B9</f>
        <v>16999.438679999999</v>
      </c>
    </row>
    <row r="32" spans="1:14" x14ac:dyDescent="0.2">
      <c r="A32" s="48" t="s">
        <v>220</v>
      </c>
      <c r="B32" s="200" t="s">
        <v>225</v>
      </c>
      <c r="C32" s="128" t="s">
        <v>50</v>
      </c>
      <c r="D32" s="132">
        <v>6.4000000000000001E-2</v>
      </c>
      <c r="E32" s="142">
        <f>1.361*8.34</f>
        <v>11.35074</v>
      </c>
      <c r="F32" s="55">
        <f t="shared" ref="F32" si="1">D10*E32*D32</f>
        <v>97.570836648328765</v>
      </c>
      <c r="G32" s="140">
        <f>D32*E32*B10</f>
        <v>17806.67768832</v>
      </c>
    </row>
    <row r="33" spans="1:15" x14ac:dyDescent="0.2">
      <c r="A33" s="48" t="s">
        <v>220</v>
      </c>
      <c r="B33" s="201" t="s">
        <v>226</v>
      </c>
      <c r="C33" s="137" t="s">
        <v>28</v>
      </c>
      <c r="D33" s="132">
        <v>1.7999999999999999E-2</v>
      </c>
      <c r="E33" s="142">
        <f>E32</f>
        <v>11.35074</v>
      </c>
      <c r="F33" s="55">
        <f>D10*E33*D33</f>
        <v>27.441797807342464</v>
      </c>
      <c r="G33" s="140">
        <f>D33*E33*B10</f>
        <v>5008.1280998399998</v>
      </c>
    </row>
    <row r="34" spans="1:15" x14ac:dyDescent="0.2">
      <c r="A34" s="48" t="s">
        <v>222</v>
      </c>
      <c r="B34" s="201" t="s">
        <v>226</v>
      </c>
      <c r="C34" s="137" t="s">
        <v>28</v>
      </c>
      <c r="D34" s="132">
        <v>0.55000000000000004</v>
      </c>
      <c r="E34" s="142">
        <f>0.895*8.34</f>
        <v>7.4642999999999997</v>
      </c>
      <c r="F34" s="55">
        <f>D11*E34*D34</f>
        <v>33.742726027397261</v>
      </c>
      <c r="G34" s="140">
        <f>D34*E34*B11</f>
        <v>1231.6095</v>
      </c>
      <c r="N34" s="160">
        <f>SUM(F33:F34)</f>
        <v>61.184523834739721</v>
      </c>
      <c r="O34" s="160">
        <f>SUM(G33:G34)</f>
        <v>6239.7375998400003</v>
      </c>
    </row>
    <row r="35" spans="1:15" ht="21" customHeight="1" x14ac:dyDescent="0.2">
      <c r="C35" s="71"/>
      <c r="D35" s="99"/>
      <c r="E35" s="144" t="s">
        <v>248</v>
      </c>
      <c r="F35" s="53">
        <f>SUM(F31:F34)</f>
        <v>251.9029696885479</v>
      </c>
      <c r="G35" s="140">
        <f>SUM(G31:G34)</f>
        <v>41045.853968160001</v>
      </c>
    </row>
    <row r="36" spans="1:15" x14ac:dyDescent="0.2">
      <c r="D36" s="89"/>
      <c r="E36" s="3"/>
    </row>
    <row r="37" spans="1:15" x14ac:dyDescent="0.2">
      <c r="E37" s="3"/>
    </row>
  </sheetData>
  <phoneticPr fontId="5" type="noConversion"/>
  <pageMargins left="0.7" right="0.7" top="0.75" bottom="0.75" header="0.3" footer="0.3"/>
  <pageSetup scale="96" fitToHeight="0" orientation="portrait" horizontalDpi="0" verticalDpi="0"/>
  <headerFooter>
    <oddFooter>&amp;R&amp;"Calibri Bold,Bold"&amp;16&amp;K000000Revised 1/12/22</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1F3BC-DD6F-DA4E-8A25-AE207D00C848}">
  <sheetPr>
    <tabColor rgb="FF00B0F0"/>
    <pageSetUpPr fitToPage="1"/>
  </sheetPr>
  <dimension ref="A3:Y93"/>
  <sheetViews>
    <sheetView topLeftCell="G19" zoomScale="120" zoomScaleNormal="120" workbookViewId="0">
      <selection activeCell="T30" sqref="T30"/>
    </sheetView>
  </sheetViews>
  <sheetFormatPr baseColWidth="10" defaultRowHeight="16" x14ac:dyDescent="0.2"/>
  <cols>
    <col min="1" max="1" width="13" customWidth="1"/>
    <col min="2" max="2" width="12.83203125" customWidth="1"/>
    <col min="3" max="3" width="10.83203125" style="3"/>
    <col min="4" max="4" width="18.5" customWidth="1"/>
    <col min="5" max="6" width="13.83203125" style="3" customWidth="1"/>
    <col min="7" max="7" width="22.33203125" style="3" customWidth="1"/>
    <col min="8" max="8" width="10.83203125" style="3"/>
    <col min="9" max="9" width="10.83203125" style="3" customWidth="1"/>
    <col min="10" max="10" width="11.83203125" customWidth="1"/>
    <col min="11" max="11" width="10.83203125" customWidth="1"/>
    <col min="12" max="15" width="11.6640625" customWidth="1"/>
    <col min="16" max="16" width="10.83203125" customWidth="1"/>
    <col min="17" max="17" width="12.5" customWidth="1"/>
    <col min="18" max="18" width="10.1640625" customWidth="1"/>
    <col min="19" max="20" width="11.6640625" customWidth="1"/>
    <col min="21" max="21" width="12.1640625" customWidth="1"/>
  </cols>
  <sheetData>
    <row r="3" spans="1:3" ht="20" x14ac:dyDescent="0.2">
      <c r="A3" s="83" t="s">
        <v>291</v>
      </c>
    </row>
    <row r="5" spans="1:3" ht="19" x14ac:dyDescent="0.25">
      <c r="A5" s="85" t="s">
        <v>179</v>
      </c>
    </row>
    <row r="16" spans="1:3" x14ac:dyDescent="0.2">
      <c r="A16" s="151" t="s">
        <v>173</v>
      </c>
      <c r="B16" s="152">
        <v>8760</v>
      </c>
      <c r="C16" s="153" t="s">
        <v>174</v>
      </c>
    </row>
    <row r="17" spans="1:25" x14ac:dyDescent="0.2">
      <c r="A17" s="5"/>
      <c r="B17" s="7">
        <v>24</v>
      </c>
      <c r="C17" s="110" t="s">
        <v>237</v>
      </c>
      <c r="H17" s="3">
        <v>1.26</v>
      </c>
    </row>
    <row r="18" spans="1:25" x14ac:dyDescent="0.2">
      <c r="C18" s="104"/>
      <c r="H18" s="3">
        <v>1.06</v>
      </c>
      <c r="I18" s="3">
        <f>MEDIAN(H17:H18)</f>
        <v>1.1600000000000001</v>
      </c>
    </row>
    <row r="19" spans="1:25" x14ac:dyDescent="0.2">
      <c r="A19" s="127" t="s">
        <v>255</v>
      </c>
    </row>
    <row r="20" spans="1:25" ht="66" x14ac:dyDescent="0.2">
      <c r="A20" s="81" t="s">
        <v>192</v>
      </c>
      <c r="B20" s="82" t="s">
        <v>163</v>
      </c>
      <c r="C20" s="82" t="s">
        <v>164</v>
      </c>
      <c r="D20" s="82" t="s">
        <v>183</v>
      </c>
      <c r="E20" s="82" t="s">
        <v>199</v>
      </c>
      <c r="F20" s="82" t="s">
        <v>202</v>
      </c>
      <c r="G20" s="82" t="s">
        <v>254</v>
      </c>
      <c r="H20" s="82" t="s">
        <v>193</v>
      </c>
      <c r="I20" s="82" t="s">
        <v>197</v>
      </c>
      <c r="J20" s="82" t="s">
        <v>204</v>
      </c>
      <c r="K20" s="82" t="s">
        <v>165</v>
      </c>
      <c r="L20" s="82" t="s">
        <v>166</v>
      </c>
      <c r="M20" s="82" t="s">
        <v>167</v>
      </c>
      <c r="N20" s="82" t="s">
        <v>168</v>
      </c>
      <c r="O20" s="82" t="s">
        <v>169</v>
      </c>
      <c r="P20" s="82" t="s">
        <v>170</v>
      </c>
      <c r="Q20" s="86" t="s">
        <v>203</v>
      </c>
      <c r="R20" s="203" t="s">
        <v>299</v>
      </c>
      <c r="S20" s="82" t="s">
        <v>171</v>
      </c>
      <c r="T20" s="82" t="s">
        <v>240</v>
      </c>
      <c r="U20" s="82" t="s">
        <v>172</v>
      </c>
    </row>
    <row r="21" spans="1:25" x14ac:dyDescent="0.2">
      <c r="A21" s="146" t="s">
        <v>180</v>
      </c>
      <c r="B21" s="48" t="s">
        <v>181</v>
      </c>
      <c r="C21" s="128" t="s">
        <v>182</v>
      </c>
      <c r="D21" s="48" t="s">
        <v>175</v>
      </c>
      <c r="E21" s="128">
        <v>3</v>
      </c>
      <c r="F21" s="128"/>
      <c r="G21" s="128" t="s">
        <v>189</v>
      </c>
      <c r="H21" s="51" t="s">
        <v>154</v>
      </c>
      <c r="I21" s="128"/>
      <c r="J21" s="48"/>
      <c r="K21" s="48"/>
      <c r="L21" s="48"/>
      <c r="M21" s="48"/>
      <c r="N21" s="48"/>
      <c r="O21" s="48"/>
      <c r="P21" s="48"/>
      <c r="Q21" s="48"/>
      <c r="R21" s="48"/>
      <c r="S21" s="48">
        <v>0</v>
      </c>
      <c r="T21" s="48">
        <v>0</v>
      </c>
      <c r="U21" s="143">
        <v>0</v>
      </c>
    </row>
    <row r="22" spans="1:25" x14ac:dyDescent="0.2">
      <c r="A22" s="147"/>
      <c r="B22" s="48" t="s">
        <v>184</v>
      </c>
      <c r="C22" s="128" t="s">
        <v>185</v>
      </c>
      <c r="D22" s="48" t="s">
        <v>176</v>
      </c>
      <c r="E22" s="128">
        <v>0.26</v>
      </c>
      <c r="F22" s="142">
        <f>1.26*8.34</f>
        <v>10.5084</v>
      </c>
      <c r="G22" s="128" t="s">
        <v>194</v>
      </c>
      <c r="H22" s="128" t="s">
        <v>59</v>
      </c>
      <c r="I22" s="141">
        <v>0.3</v>
      </c>
      <c r="J22" s="55">
        <f t="shared" ref="J22:J30" si="0">I22*(E22*F22)/(100)</f>
        <v>8.196552000000001E-3</v>
      </c>
      <c r="K22" s="48">
        <v>4.7999999999999996E-3</v>
      </c>
      <c r="L22" s="48">
        <v>0.05</v>
      </c>
      <c r="M22" s="55">
        <f t="shared" ref="M22:M27" si="1">0.072*(L22^2)/K22</f>
        <v>3.7500000000000006E-2</v>
      </c>
      <c r="N22" s="55">
        <f t="shared" ref="N22:N27" si="2">(1.9*K22/L22)*((((1-2*M22+9*M22^2)^0.5+(M22-1))/((1+3*M22)-(1-2*M22+9*M22^2)^0.5)))^0.5</f>
        <v>3.6667962402169935E-2</v>
      </c>
      <c r="O22" s="48">
        <v>10</v>
      </c>
      <c r="P22" s="48">
        <v>59</v>
      </c>
      <c r="Q22" s="55">
        <f t="shared" ref="Q22:Q30" si="3">N22*O22*P22*60/7000</f>
        <v>0.18543512414811653</v>
      </c>
      <c r="R22" s="55">
        <f>(3*65.38)/386.11</f>
        <v>0.50798995105021882</v>
      </c>
      <c r="S22" s="56">
        <f>(Q22*J22/(8.34))*R22</f>
        <v>9.2578953749202289E-5</v>
      </c>
      <c r="T22" s="55">
        <f t="shared" ref="T22:T27" si="4">S22*$B$17</f>
        <v>2.2218948899808549E-3</v>
      </c>
      <c r="U22" s="140">
        <f t="shared" ref="U22:U27" si="5">S22*$B$16</f>
        <v>0.81099163484301207</v>
      </c>
    </row>
    <row r="23" spans="1:25" x14ac:dyDescent="0.2">
      <c r="A23" s="147"/>
      <c r="B23" s="48" t="s">
        <v>186</v>
      </c>
      <c r="C23" s="128" t="s">
        <v>187</v>
      </c>
      <c r="D23" s="48" t="s">
        <v>178</v>
      </c>
      <c r="E23" s="128">
        <v>3.4</v>
      </c>
      <c r="F23" s="142">
        <f>1.4*8.34</f>
        <v>11.675999999999998</v>
      </c>
      <c r="G23" s="128" t="s">
        <v>201</v>
      </c>
      <c r="H23" s="128" t="s">
        <v>59</v>
      </c>
      <c r="I23" s="141">
        <v>0.2</v>
      </c>
      <c r="J23" s="55">
        <f t="shared" si="0"/>
        <v>7.939679999999999E-2</v>
      </c>
      <c r="K23" s="48">
        <v>4.7999999999999996E-3</v>
      </c>
      <c r="L23" s="48">
        <v>0.05</v>
      </c>
      <c r="M23" s="55">
        <f t="shared" si="1"/>
        <v>3.7500000000000006E-2</v>
      </c>
      <c r="N23" s="55">
        <f t="shared" si="2"/>
        <v>3.6667962402169935E-2</v>
      </c>
      <c r="O23" s="48">
        <v>10</v>
      </c>
      <c r="P23" s="48">
        <v>59</v>
      </c>
      <c r="Q23" s="55">
        <f t="shared" si="3"/>
        <v>0.18543512414811653</v>
      </c>
      <c r="R23" s="55">
        <f>(1*65.38)/259.4</f>
        <v>0.25204317656129532</v>
      </c>
      <c r="S23" s="56">
        <f t="shared" ref="S23:S27" si="6">(Q23*J23/(8.34))*R23</f>
        <v>4.4494250164985629E-4</v>
      </c>
      <c r="T23" s="55">
        <f t="shared" si="4"/>
        <v>1.0678620039596552E-2</v>
      </c>
      <c r="U23" s="140">
        <f t="shared" si="5"/>
        <v>3.897696314452741</v>
      </c>
    </row>
    <row r="24" spans="1:25" x14ac:dyDescent="0.2">
      <c r="A24" s="147"/>
      <c r="B24" s="48" t="s">
        <v>186</v>
      </c>
      <c r="C24" s="128" t="s">
        <v>187</v>
      </c>
      <c r="D24" s="48" t="s">
        <v>178</v>
      </c>
      <c r="E24" s="128">
        <v>3.4</v>
      </c>
      <c r="F24" s="142">
        <f t="shared" ref="F24:F27" si="7">1.4*8.34</f>
        <v>11.675999999999998</v>
      </c>
      <c r="G24" s="128" t="s">
        <v>195</v>
      </c>
      <c r="H24" s="128" t="s">
        <v>44</v>
      </c>
      <c r="I24" s="141">
        <v>0.1</v>
      </c>
      <c r="J24" s="55">
        <f t="shared" si="0"/>
        <v>3.9698399999999995E-2</v>
      </c>
      <c r="K24" s="48">
        <v>4.7999999999999996E-3</v>
      </c>
      <c r="L24" s="48">
        <v>0.05</v>
      </c>
      <c r="M24" s="55">
        <f t="shared" si="1"/>
        <v>3.7500000000000006E-2</v>
      </c>
      <c r="N24" s="55">
        <f t="shared" si="2"/>
        <v>3.6667962402169935E-2</v>
      </c>
      <c r="O24" s="48">
        <v>10</v>
      </c>
      <c r="P24" s="48">
        <v>59</v>
      </c>
      <c r="Q24" s="55">
        <f t="shared" si="3"/>
        <v>0.18543512414811653</v>
      </c>
      <c r="R24" s="55">
        <f>58.69/290.8</f>
        <v>0.20182255845942226</v>
      </c>
      <c r="S24" s="56">
        <f t="shared" si="6"/>
        <v>1.781429580349521E-4</v>
      </c>
      <c r="T24" s="55">
        <f t="shared" si="4"/>
        <v>4.2754309928388504E-3</v>
      </c>
      <c r="U24" s="140">
        <f t="shared" si="5"/>
        <v>1.5605323123861803</v>
      </c>
      <c r="V24" s="3" t="s">
        <v>274</v>
      </c>
    </row>
    <row r="25" spans="1:25" x14ac:dyDescent="0.2">
      <c r="A25" s="147"/>
      <c r="B25" s="48" t="s">
        <v>186</v>
      </c>
      <c r="C25" s="128" t="s">
        <v>187</v>
      </c>
      <c r="D25" s="48" t="s">
        <v>178</v>
      </c>
      <c r="E25" s="128">
        <v>3.4</v>
      </c>
      <c r="F25" s="142">
        <f t="shared" si="7"/>
        <v>11.675999999999998</v>
      </c>
      <c r="G25" s="128" t="s">
        <v>196</v>
      </c>
      <c r="H25" s="128" t="s">
        <v>47</v>
      </c>
      <c r="I25" s="141">
        <v>0.05</v>
      </c>
      <c r="J25" s="55">
        <f t="shared" si="0"/>
        <v>1.9849199999999997E-2</v>
      </c>
      <c r="K25" s="48">
        <v>4.7999999999999996E-3</v>
      </c>
      <c r="L25" s="48">
        <v>0.05</v>
      </c>
      <c r="M25" s="55">
        <f t="shared" si="1"/>
        <v>3.7500000000000006E-2</v>
      </c>
      <c r="N25" s="55">
        <f t="shared" si="2"/>
        <v>3.6667962402169935E-2</v>
      </c>
      <c r="O25" s="48">
        <v>10</v>
      </c>
      <c r="P25" s="48">
        <v>59</v>
      </c>
      <c r="Q25" s="55">
        <f t="shared" si="3"/>
        <v>0.18543512414811653</v>
      </c>
      <c r="R25" s="65">
        <v>1</v>
      </c>
      <c r="S25" s="56">
        <f t="shared" si="6"/>
        <v>4.4133559547251727E-4</v>
      </c>
      <c r="T25" s="55">
        <f t="shared" si="4"/>
        <v>1.0592054291340414E-2</v>
      </c>
      <c r="U25" s="140">
        <f t="shared" si="5"/>
        <v>3.8660998163392515</v>
      </c>
    </row>
    <row r="26" spans="1:25" x14ac:dyDescent="0.2">
      <c r="A26" s="147"/>
      <c r="B26" s="48" t="s">
        <v>186</v>
      </c>
      <c r="C26" s="128" t="s">
        <v>187</v>
      </c>
      <c r="D26" s="48" t="s">
        <v>178</v>
      </c>
      <c r="E26" s="128">
        <v>3.4</v>
      </c>
      <c r="F26" s="142">
        <f t="shared" si="7"/>
        <v>11.675999999999998</v>
      </c>
      <c r="G26" s="128" t="s">
        <v>200</v>
      </c>
      <c r="H26" s="128" t="s">
        <v>59</v>
      </c>
      <c r="I26" s="141">
        <v>0.05</v>
      </c>
      <c r="J26" s="55">
        <f t="shared" si="0"/>
        <v>1.9849199999999997E-2</v>
      </c>
      <c r="K26" s="48">
        <v>4.7999999999999996E-3</v>
      </c>
      <c r="L26" s="48">
        <v>0.05</v>
      </c>
      <c r="M26" s="55">
        <f t="shared" si="1"/>
        <v>3.7500000000000006E-2</v>
      </c>
      <c r="N26" s="55">
        <f t="shared" si="2"/>
        <v>3.6667962402169935E-2</v>
      </c>
      <c r="O26" s="48">
        <v>10</v>
      </c>
      <c r="P26" s="48">
        <v>59</v>
      </c>
      <c r="Q26" s="55">
        <f t="shared" si="3"/>
        <v>0.18543512414811653</v>
      </c>
      <c r="R26" s="55">
        <f>65.38/297.49</f>
        <v>0.21977209317960264</v>
      </c>
      <c r="S26" s="56">
        <f t="shared" si="6"/>
        <v>9.6993247611661479E-5</v>
      </c>
      <c r="T26" s="55">
        <f t="shared" si="4"/>
        <v>2.3278379426798753E-3</v>
      </c>
      <c r="U26" s="140">
        <f t="shared" si="5"/>
        <v>0.84966084907815453</v>
      </c>
      <c r="W26" s="160">
        <f>U22+U23+U26</f>
        <v>5.5583487983739079</v>
      </c>
      <c r="X26" s="161">
        <f>T22+T23+T26</f>
        <v>1.5228352872257281E-2</v>
      </c>
      <c r="Y26" t="s">
        <v>262</v>
      </c>
    </row>
    <row r="27" spans="1:25" x14ac:dyDescent="0.2">
      <c r="A27" s="147"/>
      <c r="B27" s="48" t="s">
        <v>186</v>
      </c>
      <c r="C27" s="128" t="s">
        <v>187</v>
      </c>
      <c r="D27" s="48" t="s">
        <v>178</v>
      </c>
      <c r="E27" s="128">
        <v>3.4</v>
      </c>
      <c r="F27" s="142">
        <f t="shared" si="7"/>
        <v>11.675999999999998</v>
      </c>
      <c r="G27" s="128" t="s">
        <v>198</v>
      </c>
      <c r="H27" s="128" t="s">
        <v>33</v>
      </c>
      <c r="I27" s="141">
        <v>0.01</v>
      </c>
      <c r="J27" s="55">
        <f t="shared" si="0"/>
        <v>3.9698399999999997E-3</v>
      </c>
      <c r="K27" s="48">
        <v>4.7999999999999996E-3</v>
      </c>
      <c r="L27" s="48">
        <v>0.05</v>
      </c>
      <c r="M27" s="55">
        <f t="shared" si="1"/>
        <v>3.7500000000000006E-2</v>
      </c>
      <c r="N27" s="55">
        <f t="shared" si="2"/>
        <v>3.6667962402169935E-2</v>
      </c>
      <c r="O27" s="48">
        <v>10</v>
      </c>
      <c r="P27" s="48">
        <v>59</v>
      </c>
      <c r="Q27" s="55">
        <f t="shared" si="3"/>
        <v>0.18543512414811653</v>
      </c>
      <c r="R27" s="65">
        <v>1</v>
      </c>
      <c r="S27" s="56">
        <f t="shared" si="6"/>
        <v>8.8267119094503452E-5</v>
      </c>
      <c r="T27" s="55">
        <f t="shared" si="4"/>
        <v>2.1184108582680827E-3</v>
      </c>
      <c r="U27" s="140">
        <f t="shared" si="5"/>
        <v>0.77321996326785025</v>
      </c>
      <c r="V27" s="182" t="s">
        <v>274</v>
      </c>
    </row>
    <row r="28" spans="1:25" x14ac:dyDescent="0.2">
      <c r="A28" s="148"/>
      <c r="B28" s="48" t="s">
        <v>186</v>
      </c>
      <c r="C28" s="128" t="s">
        <v>187</v>
      </c>
      <c r="D28" s="48" t="s">
        <v>188</v>
      </c>
      <c r="E28" s="128">
        <v>4.2000000000000003E-2</v>
      </c>
      <c r="F28" s="128"/>
      <c r="G28" s="128" t="s">
        <v>189</v>
      </c>
      <c r="H28" s="51" t="s">
        <v>154</v>
      </c>
      <c r="I28" s="141"/>
      <c r="J28" s="55"/>
      <c r="K28" s="48"/>
      <c r="L28" s="48"/>
      <c r="M28" s="48"/>
      <c r="N28" s="48"/>
      <c r="O28" s="48"/>
      <c r="P28" s="48"/>
      <c r="Q28" s="55"/>
      <c r="R28" s="55"/>
      <c r="S28" s="65">
        <v>0</v>
      </c>
      <c r="T28" s="65">
        <f t="shared" ref="T28:T30" si="8">S28*$B$17</f>
        <v>0</v>
      </c>
      <c r="U28" s="65">
        <f t="shared" ref="U28:U30" si="9">S28*$B$16</f>
        <v>0</v>
      </c>
    </row>
    <row r="29" spans="1:25" x14ac:dyDescent="0.2">
      <c r="A29" s="205"/>
      <c r="B29" s="206" t="s">
        <v>186</v>
      </c>
      <c r="C29" s="207" t="s">
        <v>187</v>
      </c>
      <c r="D29" s="206" t="s">
        <v>266</v>
      </c>
      <c r="E29" s="207">
        <v>4.2000000000000003E-2</v>
      </c>
      <c r="F29" s="207"/>
      <c r="G29" s="207" t="s">
        <v>189</v>
      </c>
      <c r="H29" s="208"/>
      <c r="I29" s="209"/>
      <c r="J29" s="210"/>
      <c r="K29" s="206"/>
      <c r="L29" s="206"/>
      <c r="M29" s="206"/>
      <c r="N29" s="206"/>
      <c r="O29" s="206"/>
      <c r="P29" s="206"/>
      <c r="Q29" s="210"/>
      <c r="R29" s="210"/>
      <c r="S29" s="211">
        <v>0</v>
      </c>
      <c r="T29" s="211">
        <f t="shared" si="8"/>
        <v>0</v>
      </c>
      <c r="U29" s="211">
        <f t="shared" si="9"/>
        <v>0</v>
      </c>
    </row>
    <row r="30" spans="1:25" x14ac:dyDescent="0.2">
      <c r="A30" s="5"/>
      <c r="B30" s="48" t="s">
        <v>186</v>
      </c>
      <c r="C30" s="170" t="s">
        <v>187</v>
      </c>
      <c r="D30" s="48" t="s">
        <v>267</v>
      </c>
      <c r="E30" s="202">
        <v>1</v>
      </c>
      <c r="F30" s="142">
        <f>1.06*8.34</f>
        <v>8.8404000000000007</v>
      </c>
      <c r="G30" s="170" t="s">
        <v>268</v>
      </c>
      <c r="H30" s="51" t="s">
        <v>46</v>
      </c>
      <c r="I30" s="141">
        <v>0.1</v>
      </c>
      <c r="J30" s="55">
        <f t="shared" si="0"/>
        <v>8.8404000000000017E-3</v>
      </c>
      <c r="K30" s="48">
        <v>4.7999999999999996E-3</v>
      </c>
      <c r="L30" s="48">
        <v>0.05</v>
      </c>
      <c r="M30" s="55">
        <f t="shared" ref="M30" si="10">0.072*(L30^2)/K30</f>
        <v>3.7500000000000006E-2</v>
      </c>
      <c r="N30" s="55">
        <f t="shared" ref="N30" si="11">(1.9*K30/L30)*((((1-2*M30+9*M30^2)^0.5+(M30-1))/((1+3*M30)-(1-2*M30+9*M30^2)^0.5)))^0.5</f>
        <v>3.6667962402169935E-2</v>
      </c>
      <c r="O30" s="48">
        <v>10</v>
      </c>
      <c r="P30" s="48">
        <v>59</v>
      </c>
      <c r="Q30" s="55">
        <f t="shared" si="3"/>
        <v>0.18543512414811653</v>
      </c>
      <c r="R30" s="65">
        <v>1</v>
      </c>
      <c r="S30" s="56">
        <f t="shared" ref="S30" si="12">(Q30*J30/(8.34))*R30</f>
        <v>1.9656123159700356E-4</v>
      </c>
      <c r="T30" s="55">
        <f t="shared" si="8"/>
        <v>4.7174695583280853E-3</v>
      </c>
      <c r="U30" s="140">
        <f t="shared" si="9"/>
        <v>1.7218763887897512</v>
      </c>
    </row>
    <row r="31" spans="1:25" x14ac:dyDescent="0.2">
      <c r="A31" s="5"/>
      <c r="B31" s="7"/>
      <c r="C31" s="6"/>
      <c r="D31" s="7"/>
      <c r="E31" s="6"/>
      <c r="F31" s="6"/>
      <c r="G31" s="6"/>
      <c r="H31" s="125"/>
      <c r="I31" s="141"/>
      <c r="J31" s="7"/>
      <c r="K31" s="7"/>
      <c r="L31" s="7"/>
      <c r="M31" s="7"/>
      <c r="N31" s="7"/>
      <c r="O31" s="5"/>
      <c r="P31" s="7"/>
      <c r="Q31" s="131" t="s">
        <v>245</v>
      </c>
      <c r="R31" s="131"/>
      <c r="S31" s="56">
        <f>SUM(S21:S28)</f>
        <v>1.3422603756126929E-3</v>
      </c>
      <c r="T31" s="55">
        <f>SUM(T21:T28)</f>
        <v>3.2214249014704627E-2</v>
      </c>
      <c r="U31" s="140">
        <f>SUM(U21:U28)</f>
        <v>11.75820089036719</v>
      </c>
      <c r="V31" s="140">
        <f>U27+U24</f>
        <v>2.3337522756540308</v>
      </c>
      <c r="W31" s="48" t="s">
        <v>113</v>
      </c>
    </row>
    <row r="32" spans="1:25" x14ac:dyDescent="0.2">
      <c r="A32" s="71"/>
      <c r="B32" s="71"/>
      <c r="C32" s="129"/>
      <c r="D32" s="71"/>
      <c r="E32" s="129"/>
      <c r="F32" s="129"/>
      <c r="G32" s="129"/>
      <c r="H32" s="121"/>
      <c r="I32" s="122"/>
      <c r="J32" s="71"/>
      <c r="K32" s="71"/>
      <c r="L32" s="71"/>
      <c r="M32" s="71"/>
      <c r="N32" s="71"/>
      <c r="O32" s="71"/>
      <c r="P32" s="71"/>
      <c r="Q32" s="144"/>
      <c r="R32" s="144"/>
      <c r="S32" s="124"/>
      <c r="T32" s="123"/>
      <c r="U32" s="145"/>
    </row>
    <row r="33" spans="1:23" ht="66" x14ac:dyDescent="0.2">
      <c r="A33" s="81" t="s">
        <v>192</v>
      </c>
      <c r="B33" s="82" t="s">
        <v>163</v>
      </c>
      <c r="C33" s="82" t="s">
        <v>164</v>
      </c>
      <c r="D33" s="82" t="s">
        <v>183</v>
      </c>
      <c r="E33" s="82" t="s">
        <v>199</v>
      </c>
      <c r="F33" s="82" t="s">
        <v>202</v>
      </c>
      <c r="G33" s="82" t="s">
        <v>254</v>
      </c>
      <c r="H33" s="82" t="s">
        <v>193</v>
      </c>
      <c r="I33" s="82" t="s">
        <v>197</v>
      </c>
      <c r="J33" s="82" t="s">
        <v>204</v>
      </c>
      <c r="K33" s="82" t="s">
        <v>165</v>
      </c>
      <c r="L33" s="82" t="s">
        <v>166</v>
      </c>
      <c r="M33" s="82" t="s">
        <v>167</v>
      </c>
      <c r="N33" s="82" t="s">
        <v>168</v>
      </c>
      <c r="O33" s="82" t="s">
        <v>169</v>
      </c>
      <c r="P33" s="82" t="s">
        <v>170</v>
      </c>
      <c r="Q33" s="86" t="s">
        <v>203</v>
      </c>
      <c r="R33" s="203"/>
      <c r="S33" s="82" t="s">
        <v>171</v>
      </c>
      <c r="T33" s="82" t="s">
        <v>240</v>
      </c>
      <c r="U33" s="82" t="s">
        <v>172</v>
      </c>
    </row>
    <row r="34" spans="1:23" x14ac:dyDescent="0.2">
      <c r="A34" t="s">
        <v>190</v>
      </c>
      <c r="B34" s="48" t="s">
        <v>181</v>
      </c>
      <c r="C34" s="128" t="s">
        <v>182</v>
      </c>
      <c r="D34" s="48" t="s">
        <v>175</v>
      </c>
      <c r="E34" s="128">
        <v>3</v>
      </c>
      <c r="F34" s="128"/>
      <c r="G34" s="128" t="s">
        <v>189</v>
      </c>
      <c r="H34" s="51" t="s">
        <v>154</v>
      </c>
      <c r="I34" s="141"/>
      <c r="J34" s="48"/>
      <c r="K34" s="48"/>
      <c r="L34" s="48"/>
      <c r="M34" s="48"/>
      <c r="N34" s="48"/>
      <c r="O34" s="48"/>
      <c r="P34" s="48"/>
      <c r="Q34" s="48"/>
      <c r="R34" s="48"/>
      <c r="S34" s="48">
        <v>0</v>
      </c>
      <c r="T34" s="48">
        <v>0</v>
      </c>
      <c r="U34" s="48">
        <v>0</v>
      </c>
    </row>
    <row r="35" spans="1:23" x14ac:dyDescent="0.2">
      <c r="B35" s="48" t="s">
        <v>191</v>
      </c>
      <c r="C35" s="128" t="s">
        <v>185</v>
      </c>
      <c r="D35" s="48" t="s">
        <v>177</v>
      </c>
      <c r="E35" s="128">
        <v>4</v>
      </c>
      <c r="F35" s="154">
        <f>1.02*8.34</f>
        <v>8.5068000000000001</v>
      </c>
      <c r="G35" s="137" t="s">
        <v>257</v>
      </c>
      <c r="H35" s="137" t="s">
        <v>258</v>
      </c>
      <c r="I35" s="155">
        <v>0.01</v>
      </c>
      <c r="J35" s="55">
        <f>I35*(E35*F35)/(100)</f>
        <v>3.4027200000000001E-3</v>
      </c>
      <c r="K35" s="48">
        <v>4.7999999999999996E-3</v>
      </c>
      <c r="L35" s="48">
        <v>0.05</v>
      </c>
      <c r="M35" s="55">
        <f>0.072*(L35^2)/K35</f>
        <v>3.7500000000000006E-2</v>
      </c>
      <c r="N35" s="55">
        <f>(1.9*K35/L35)*((((1-2*M35+9*M35^2)^0.5+(M35-1))/((1+3*M35)-(1-2*M35+9*M35^2)^0.5)))^0.5</f>
        <v>3.6667962402169935E-2</v>
      </c>
      <c r="O35" s="156">
        <v>10</v>
      </c>
      <c r="P35" s="156">
        <v>59</v>
      </c>
      <c r="Q35" s="55">
        <f>N35*O35*P35*60/7000</f>
        <v>0.18543512414811653</v>
      </c>
      <c r="R35" s="55"/>
      <c r="S35" s="56">
        <f>Q35*J35/(8.34)</f>
        <v>7.565753065243154E-5</v>
      </c>
      <c r="T35" s="55">
        <f>S35*$B$17</f>
        <v>1.8157807356583571E-3</v>
      </c>
      <c r="U35" s="140">
        <f>S35*$B$16</f>
        <v>0.66275996851530028</v>
      </c>
      <c r="V35" s="48">
        <v>0</v>
      </c>
      <c r="W35" s="48" t="s">
        <v>113</v>
      </c>
    </row>
    <row r="36" spans="1:23" x14ac:dyDescent="0.2">
      <c r="I36" s="84"/>
    </row>
    <row r="37" spans="1:23" x14ac:dyDescent="0.2">
      <c r="I37" s="84"/>
    </row>
    <row r="60" spans="1:6" ht="19" x14ac:dyDescent="0.25">
      <c r="A60" s="85" t="s">
        <v>252</v>
      </c>
      <c r="B60" s="58"/>
      <c r="F60" s="92"/>
    </row>
    <row r="61" spans="1:6" ht="19" x14ac:dyDescent="0.25">
      <c r="A61" s="85"/>
      <c r="B61" s="58"/>
    </row>
    <row r="62" spans="1:6" ht="19" x14ac:dyDescent="0.25">
      <c r="A62" s="85"/>
      <c r="B62" s="58"/>
    </row>
    <row r="63" spans="1:6" x14ac:dyDescent="0.2">
      <c r="A63" s="105" t="s">
        <v>218</v>
      </c>
      <c r="B63" s="106">
        <v>8760</v>
      </c>
      <c r="C63" s="107" t="s">
        <v>219</v>
      </c>
    </row>
    <row r="64" spans="1:6" x14ac:dyDescent="0.2">
      <c r="A64" s="108"/>
      <c r="B64" s="109">
        <v>24</v>
      </c>
      <c r="C64" s="110" t="s">
        <v>237</v>
      </c>
    </row>
    <row r="65" spans="1:4" x14ac:dyDescent="0.2">
      <c r="A65" s="87"/>
      <c r="B65" s="58"/>
    </row>
    <row r="66" spans="1:4" x14ac:dyDescent="0.2">
      <c r="A66" s="87" t="s">
        <v>227</v>
      </c>
      <c r="B66" s="58"/>
    </row>
    <row r="67" spans="1:4" x14ac:dyDescent="0.2">
      <c r="A67" s="87"/>
      <c r="B67" s="58"/>
    </row>
    <row r="68" spans="1:4" ht="19" x14ac:dyDescent="0.25">
      <c r="A68" s="87"/>
      <c r="B68" s="1" t="s">
        <v>235</v>
      </c>
      <c r="C68" s="2"/>
      <c r="D68" s="1"/>
    </row>
    <row r="69" spans="1:4" x14ac:dyDescent="0.2">
      <c r="A69" s="87"/>
      <c r="B69" s="75"/>
      <c r="C69" s="95"/>
      <c r="D69" s="75"/>
    </row>
    <row r="70" spans="1:4" x14ac:dyDescent="0.2">
      <c r="A70" s="87" t="s">
        <v>236</v>
      </c>
      <c r="B70" s="58"/>
    </row>
    <row r="71" spans="1:4" x14ac:dyDescent="0.2">
      <c r="A71" s="87"/>
      <c r="B71" s="73" t="s">
        <v>228</v>
      </c>
    </row>
    <row r="72" spans="1:4" x14ac:dyDescent="0.2">
      <c r="A72" s="87"/>
      <c r="B72" s="73" t="s">
        <v>229</v>
      </c>
    </row>
    <row r="73" spans="1:4" ht="19" x14ac:dyDescent="0.2">
      <c r="A73" s="87"/>
      <c r="B73" s="73" t="s">
        <v>230</v>
      </c>
    </row>
    <row r="74" spans="1:4" x14ac:dyDescent="0.2">
      <c r="A74" s="87"/>
      <c r="B74" s="73" t="s">
        <v>231</v>
      </c>
    </row>
    <row r="75" spans="1:4" x14ac:dyDescent="0.2">
      <c r="A75" s="87"/>
      <c r="B75" s="73" t="s">
        <v>232</v>
      </c>
    </row>
    <row r="76" spans="1:4" ht="19" x14ac:dyDescent="0.25">
      <c r="A76" s="85"/>
      <c r="B76" s="73" t="s">
        <v>250</v>
      </c>
    </row>
    <row r="77" spans="1:4" ht="19" x14ac:dyDescent="0.25">
      <c r="A77" s="85"/>
      <c r="B77" s="73" t="s">
        <v>233</v>
      </c>
    </row>
    <row r="78" spans="1:4" ht="19" x14ac:dyDescent="0.25">
      <c r="A78" s="85"/>
      <c r="B78" s="73" t="s">
        <v>234</v>
      </c>
    </row>
    <row r="79" spans="1:4" ht="19" x14ac:dyDescent="0.25">
      <c r="A79" s="85"/>
      <c r="B79" s="73"/>
    </row>
    <row r="80" spans="1:4" x14ac:dyDescent="0.2">
      <c r="A80" s="127" t="s">
        <v>255</v>
      </c>
      <c r="D80" s="3"/>
    </row>
    <row r="81" spans="1:21" ht="68" x14ac:dyDescent="0.2">
      <c r="A81" s="290" t="s">
        <v>253</v>
      </c>
      <c r="B81" s="291"/>
      <c r="C81" s="290" t="s">
        <v>249</v>
      </c>
      <c r="D81" s="291"/>
      <c r="E81" s="74" t="s">
        <v>89</v>
      </c>
      <c r="F81" s="88" t="s">
        <v>241</v>
      </c>
      <c r="G81" s="88" t="s">
        <v>207</v>
      </c>
      <c r="H81" s="88" t="s">
        <v>213</v>
      </c>
      <c r="I81" s="74" t="s">
        <v>208</v>
      </c>
      <c r="J81" s="88" t="s">
        <v>210</v>
      </c>
      <c r="K81" s="88" t="s">
        <v>251</v>
      </c>
      <c r="L81" s="88" t="s">
        <v>209</v>
      </c>
      <c r="M81" s="88" t="s">
        <v>211</v>
      </c>
      <c r="N81" s="88" t="s">
        <v>214</v>
      </c>
      <c r="O81" s="88" t="s">
        <v>216</v>
      </c>
      <c r="P81" s="88" t="s">
        <v>239</v>
      </c>
      <c r="Q81" s="88" t="s">
        <v>217</v>
      </c>
      <c r="R81" s="9"/>
      <c r="U81" s="72"/>
    </row>
    <row r="82" spans="1:21" ht="34" customHeight="1" x14ac:dyDescent="0.2">
      <c r="A82" s="286" t="s">
        <v>205</v>
      </c>
      <c r="B82" s="286"/>
      <c r="C82" s="292" t="s">
        <v>206</v>
      </c>
      <c r="D82" s="292"/>
      <c r="E82" s="128" t="s">
        <v>49</v>
      </c>
      <c r="F82" s="132">
        <v>0.03</v>
      </c>
      <c r="G82" s="128">
        <v>90.12</v>
      </c>
      <c r="H82" s="88">
        <v>1.7</v>
      </c>
      <c r="I82" s="133">
        <f>0.00438*(H82^0.78)*((18/G82)^0.333)</f>
        <v>3.8750254522776067E-3</v>
      </c>
      <c r="J82" s="88">
        <v>65</v>
      </c>
      <c r="K82" s="134">
        <v>0.24199999999999999</v>
      </c>
      <c r="L82" s="135">
        <v>10.73</v>
      </c>
      <c r="M82" s="134">
        <f>85+459.67</f>
        <v>544.67000000000007</v>
      </c>
      <c r="N82" s="134">
        <f>F82*(G82*I82*J82*K82)/(L82*M82)</f>
        <v>2.8197625776671144E-5</v>
      </c>
      <c r="O82" s="136">
        <f>N82*3600</f>
        <v>0.10151145279601612</v>
      </c>
      <c r="P82" s="136">
        <f>O82*$B$64</f>
        <v>2.4362748671043866</v>
      </c>
      <c r="Q82" s="136">
        <f>O82*$B$63</f>
        <v>889.24032649310118</v>
      </c>
      <c r="R82" s="204"/>
      <c r="U82" s="72"/>
    </row>
    <row r="83" spans="1:21" x14ac:dyDescent="0.2">
      <c r="A83" s="286" t="s">
        <v>212</v>
      </c>
      <c r="B83" s="286"/>
      <c r="C83" s="286" t="s">
        <v>244</v>
      </c>
      <c r="D83" s="286"/>
      <c r="E83" s="128" t="s">
        <v>50</v>
      </c>
      <c r="F83" s="132">
        <v>6.4000000000000001E-2</v>
      </c>
      <c r="G83" s="128">
        <v>74.12</v>
      </c>
      <c r="H83" s="88">
        <v>1.7</v>
      </c>
      <c r="I83" s="133">
        <f>0.00438*(H83^0.78)*((18/G83)^0.333)</f>
        <v>4.1356285199980625E-3</v>
      </c>
      <c r="J83" s="88">
        <v>65</v>
      </c>
      <c r="K83" s="48">
        <v>0.35399999999999998</v>
      </c>
      <c r="L83" s="135">
        <v>10.73</v>
      </c>
      <c r="M83" s="134">
        <f>85+459.67</f>
        <v>544.67000000000007</v>
      </c>
      <c r="N83" s="134">
        <f>F83*(G83*I83*J83*K83)/(L83*M83)</f>
        <v>7.7239658975446527E-5</v>
      </c>
      <c r="O83" s="136">
        <f>N83*3600</f>
        <v>0.27806277231160748</v>
      </c>
      <c r="P83" s="136">
        <f>O83*$B$64</f>
        <v>6.6735065354785794</v>
      </c>
      <c r="Q83" s="136">
        <f>O83*$B$63</f>
        <v>2435.8298854496816</v>
      </c>
      <c r="R83" s="204"/>
    </row>
    <row r="84" spans="1:21" x14ac:dyDescent="0.2">
      <c r="A84" s="286" t="s">
        <v>212</v>
      </c>
      <c r="B84" s="286"/>
      <c r="C84" s="289" t="s">
        <v>226</v>
      </c>
      <c r="D84" s="289"/>
      <c r="E84" s="137" t="s">
        <v>28</v>
      </c>
      <c r="F84" s="132">
        <v>1.7999999999999999E-2</v>
      </c>
      <c r="G84" s="128">
        <v>118.17</v>
      </c>
      <c r="H84" s="88">
        <v>1.7</v>
      </c>
      <c r="I84" s="133">
        <f>0.00438*(H84^0.78)*((18/G84)^0.333)</f>
        <v>3.5406671687417861E-3</v>
      </c>
      <c r="J84" s="88">
        <v>65</v>
      </c>
      <c r="K84" s="48">
        <v>1.7000000000000001E-2</v>
      </c>
      <c r="L84" s="135">
        <v>10.73</v>
      </c>
      <c r="M84" s="134">
        <f>85+459.67</f>
        <v>544.67000000000007</v>
      </c>
      <c r="N84" s="134">
        <f>F84*(G84*I84*J84*K84)/(L84*M84)</f>
        <v>1.423947394616416E-6</v>
      </c>
      <c r="O84" s="138">
        <f>N84*3600</f>
        <v>5.1262106206190977E-3</v>
      </c>
      <c r="P84" s="136">
        <f>O84*$B$64</f>
        <v>0.12302905489485835</v>
      </c>
      <c r="Q84" s="136">
        <f>O84*$B$63</f>
        <v>44.905605036623299</v>
      </c>
      <c r="R84" s="204"/>
      <c r="S84" s="160">
        <f>P84+P85</f>
        <v>33.865755082292118</v>
      </c>
      <c r="T84" s="160">
        <f>Q84+Q85</f>
        <v>1276.5151050366233</v>
      </c>
    </row>
    <row r="85" spans="1:21" x14ac:dyDescent="0.2">
      <c r="A85" s="286" t="s">
        <v>221</v>
      </c>
      <c r="B85" s="286"/>
      <c r="C85" s="289" t="s">
        <v>226</v>
      </c>
      <c r="D85" s="289"/>
      <c r="E85" s="137" t="s">
        <v>28</v>
      </c>
      <c r="F85" s="132">
        <f>'3Coating Oven (CO1)'!D34</f>
        <v>0.55000000000000004</v>
      </c>
      <c r="G85" s="286" t="s">
        <v>246</v>
      </c>
      <c r="H85" s="286"/>
      <c r="I85" s="286"/>
      <c r="J85" s="286"/>
      <c r="K85" s="286"/>
      <c r="L85" s="286"/>
      <c r="M85" s="286"/>
      <c r="N85" s="286"/>
      <c r="O85" s="139"/>
      <c r="P85" s="136">
        <f>'3Coating Oven (CO1)'!F34</f>
        <v>33.742726027397261</v>
      </c>
      <c r="Q85" s="136">
        <f>'3Coating Oven (CO1)'!G34</f>
        <v>1231.6095</v>
      </c>
      <c r="R85" s="204"/>
    </row>
    <row r="86" spans="1:21" ht="22" customHeight="1" x14ac:dyDescent="0.2">
      <c r="A86" s="5"/>
      <c r="B86" s="7"/>
      <c r="C86" s="6"/>
      <c r="D86" s="7"/>
      <c r="E86" s="6"/>
      <c r="F86" s="6"/>
      <c r="G86" s="6"/>
      <c r="H86" s="6"/>
      <c r="I86" s="6"/>
      <c r="J86" s="7"/>
      <c r="K86" s="7"/>
      <c r="L86" s="7"/>
      <c r="M86" s="5"/>
      <c r="N86" s="131" t="s">
        <v>247</v>
      </c>
      <c r="O86" s="140"/>
      <c r="P86" s="140">
        <f>SUM(P82:P85)</f>
        <v>42.975536484875086</v>
      </c>
      <c r="Q86" s="140">
        <f>SUM(Q82:Q85)</f>
        <v>4601.5853169794063</v>
      </c>
      <c r="R86" s="145"/>
      <c r="S86" s="71"/>
      <c r="T86" s="71"/>
    </row>
    <row r="87" spans="1:21" x14ac:dyDescent="0.2">
      <c r="P87" s="93"/>
    </row>
    <row r="88" spans="1:21" x14ac:dyDescent="0.2">
      <c r="P88" s="93"/>
    </row>
    <row r="89" spans="1:21" x14ac:dyDescent="0.2">
      <c r="A89" t="s">
        <v>304</v>
      </c>
    </row>
    <row r="91" spans="1:21" x14ac:dyDescent="0.2">
      <c r="A91" t="s">
        <v>206</v>
      </c>
      <c r="C91" s="216" t="s">
        <v>305</v>
      </c>
      <c r="H91" s="104" t="s">
        <v>306</v>
      </c>
    </row>
    <row r="92" spans="1:21" x14ac:dyDescent="0.2">
      <c r="A92" t="s">
        <v>244</v>
      </c>
      <c r="C92" s="216" t="s">
        <v>308</v>
      </c>
      <c r="H92" s="104" t="s">
        <v>307</v>
      </c>
    </row>
    <row r="93" spans="1:21" x14ac:dyDescent="0.2">
      <c r="A93" t="s">
        <v>309</v>
      </c>
      <c r="C93" s="216" t="s">
        <v>310</v>
      </c>
      <c r="H93" s="104" t="s">
        <v>311</v>
      </c>
    </row>
  </sheetData>
  <mergeCells count="11">
    <mergeCell ref="C83:D83"/>
    <mergeCell ref="C84:D84"/>
    <mergeCell ref="C85:D85"/>
    <mergeCell ref="G85:N85"/>
    <mergeCell ref="A81:B81"/>
    <mergeCell ref="A82:B82"/>
    <mergeCell ref="A83:B83"/>
    <mergeCell ref="A84:B84"/>
    <mergeCell ref="A85:B85"/>
    <mergeCell ref="C81:D81"/>
    <mergeCell ref="C82:D82"/>
  </mergeCells>
  <phoneticPr fontId="5" type="noConversion"/>
  <hyperlinks>
    <hyperlink ref="C91" r:id="rId1" location="section=Vapor-Pressure" xr:uid="{EF99D584-D5FD-DA40-B14C-0EF7FB91AFCB}"/>
    <hyperlink ref="C92" r:id="rId2" location="section=Vapor-Pressure" xr:uid="{CE8A9C9E-D9B3-1D4F-B56C-EB61EF750ECA}"/>
    <hyperlink ref="C93" r:id="rId3" location="section=Vapor-Pressure" xr:uid="{63303103-C331-2742-9018-89D56C3DB69E}"/>
  </hyperlinks>
  <pageMargins left="0.7" right="0.7" top="0.75" bottom="0.75" header="0.3" footer="0.3"/>
  <pageSetup paperSize="3" scale="85" fitToHeight="2" orientation="landscape" horizontalDpi="0" verticalDpi="0"/>
  <headerFooter>
    <oddFooter>&amp;R&amp;"Calibri Bold,Bold"&amp;16&amp;K000000Revised 1/12/22</oddFooter>
  </headerFooter>
  <drawing r:id="rId4"/>
  <legacyDrawing r:id="rId5"/>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39176-6A45-8F41-9554-B409D346E277}">
  <sheetPr>
    <tabColor rgb="FFFFC000"/>
    <pageSetUpPr fitToPage="1"/>
  </sheetPr>
  <dimension ref="A1:J183"/>
  <sheetViews>
    <sheetView topLeftCell="A19" zoomScale="180" zoomScaleNormal="180" workbookViewId="0">
      <selection activeCell="E28" sqref="E28:E31"/>
    </sheetView>
  </sheetViews>
  <sheetFormatPr baseColWidth="10" defaultColWidth="11" defaultRowHeight="16" x14ac:dyDescent="0.2"/>
  <cols>
    <col min="1" max="1" width="28.5" customWidth="1"/>
    <col min="2" max="2" width="15.83203125" customWidth="1"/>
    <col min="3" max="3" width="12" customWidth="1"/>
    <col min="4" max="4" width="13.6640625" customWidth="1"/>
    <col min="5" max="9" width="9.6640625" customWidth="1"/>
    <col min="12" max="12" width="12.6640625" customWidth="1"/>
    <col min="13" max="13" width="14" customWidth="1"/>
  </cols>
  <sheetData>
    <row r="1" spans="1:10" ht="21" x14ac:dyDescent="0.25">
      <c r="A1" s="10"/>
      <c r="B1" s="11"/>
      <c r="C1" s="12"/>
      <c r="D1" s="12"/>
      <c r="E1" s="12"/>
      <c r="F1" s="12"/>
      <c r="G1" s="13"/>
    </row>
    <row r="3" spans="1:10" x14ac:dyDescent="0.2">
      <c r="A3" s="14"/>
    </row>
    <row r="4" spans="1:10" ht="18" x14ac:dyDescent="0.2">
      <c r="A4" s="15" t="s">
        <v>292</v>
      </c>
    </row>
    <row r="6" spans="1:10" s="20" customFormat="1" x14ac:dyDescent="0.2">
      <c r="A6" s="16" t="s">
        <v>140</v>
      </c>
      <c r="B6" s="17"/>
      <c r="C6" s="18"/>
      <c r="D6" s="18"/>
      <c r="E6" s="19"/>
      <c r="G6"/>
      <c r="H6"/>
      <c r="I6"/>
      <c r="J6"/>
    </row>
    <row r="7" spans="1:10" s="20" customFormat="1" x14ac:dyDescent="0.2">
      <c r="A7" s="18" t="s">
        <v>141</v>
      </c>
      <c r="B7" s="21" t="s">
        <v>142</v>
      </c>
      <c r="C7" s="18" t="s">
        <v>143</v>
      </c>
      <c r="D7" s="18"/>
      <c r="E7" s="19"/>
      <c r="G7"/>
      <c r="H7"/>
      <c r="I7"/>
      <c r="J7"/>
    </row>
    <row r="8" spans="1:10" x14ac:dyDescent="0.2">
      <c r="A8" s="18" t="s">
        <v>144</v>
      </c>
      <c r="B8" s="70" t="s">
        <v>145</v>
      </c>
    </row>
    <row r="9" spans="1:10" x14ac:dyDescent="0.2">
      <c r="A9" s="18" t="s">
        <v>146</v>
      </c>
      <c r="B9" s="22">
        <f>48000*3</f>
        <v>144000</v>
      </c>
      <c r="C9" t="s">
        <v>61</v>
      </c>
    </row>
    <row r="10" spans="1:10" x14ac:dyDescent="0.2">
      <c r="A10" s="18" t="s">
        <v>147</v>
      </c>
      <c r="B10" s="17">
        <f>B9/250 *1.5</f>
        <v>864</v>
      </c>
      <c r="C10" t="s">
        <v>151</v>
      </c>
      <c r="G10" s="66"/>
    </row>
    <row r="11" spans="1:10" x14ac:dyDescent="0.2">
      <c r="A11" s="18"/>
      <c r="B11" s="17"/>
      <c r="G11" s="66"/>
    </row>
    <row r="12" spans="1:10" x14ac:dyDescent="0.2">
      <c r="A12" s="18"/>
      <c r="B12" s="17"/>
      <c r="G12" s="66"/>
    </row>
    <row r="13" spans="1:10" x14ac:dyDescent="0.2">
      <c r="A13" s="18" t="s">
        <v>371</v>
      </c>
      <c r="B13" s="260">
        <v>0.95</v>
      </c>
      <c r="G13" s="66"/>
    </row>
    <row r="14" spans="1:10" x14ac:dyDescent="0.2">
      <c r="A14" s="18" t="s">
        <v>372</v>
      </c>
      <c r="B14" s="260">
        <v>0.95</v>
      </c>
      <c r="G14" s="66"/>
    </row>
    <row r="15" spans="1:10" x14ac:dyDescent="0.2">
      <c r="A15" s="18" t="s">
        <v>373</v>
      </c>
      <c r="B15" s="260">
        <v>0.5</v>
      </c>
      <c r="G15" s="66"/>
    </row>
    <row r="16" spans="1:10" ht="34" x14ac:dyDescent="0.2">
      <c r="A16" s="163" t="s">
        <v>374</v>
      </c>
      <c r="B16" s="261">
        <f>1-(((1-B13)+B13*(1-B14))*(1-B15))</f>
        <v>0.95124999999999993</v>
      </c>
      <c r="G16" s="66"/>
    </row>
    <row r="17" spans="1:9" x14ac:dyDescent="0.2">
      <c r="A17" s="18"/>
      <c r="B17" s="22"/>
    </row>
    <row r="18" spans="1:9" ht="15.75" customHeight="1" x14ac:dyDescent="0.2">
      <c r="A18" s="18"/>
      <c r="B18" s="24"/>
      <c r="E18" s="28"/>
    </row>
    <row r="19" spans="1:9" ht="18" customHeight="1" x14ac:dyDescent="0.2">
      <c r="A19" s="293" t="s">
        <v>122</v>
      </c>
      <c r="B19" s="294"/>
      <c r="C19" s="294"/>
      <c r="D19" s="295"/>
    </row>
    <row r="20" spans="1:9" ht="47" customHeight="1" x14ac:dyDescent="0.2">
      <c r="A20" s="29" t="s">
        <v>76</v>
      </c>
      <c r="B20" s="164" t="s">
        <v>264</v>
      </c>
      <c r="C20" s="159" t="s">
        <v>263</v>
      </c>
      <c r="D20" s="166" t="s">
        <v>131</v>
      </c>
    </row>
    <row r="21" spans="1:9" ht="15.75" customHeight="1" x14ac:dyDescent="0.2">
      <c r="A21" s="31" t="s">
        <v>148</v>
      </c>
      <c r="B21" s="165">
        <v>5.2</v>
      </c>
      <c r="C21" s="48">
        <f>B21*(1-B16)</f>
        <v>0.25350000000000039</v>
      </c>
      <c r="D21" s="167">
        <f>C21*B9/1000/2000</f>
        <v>1.8252000000000032E-2</v>
      </c>
    </row>
    <row r="22" spans="1:9" x14ac:dyDescent="0.2">
      <c r="A22" s="35" t="s">
        <v>149</v>
      </c>
      <c r="B22" s="36"/>
      <c r="C22" s="162"/>
      <c r="D22" s="162"/>
    </row>
    <row r="23" spans="1:9" x14ac:dyDescent="0.2">
      <c r="A23" s="38"/>
      <c r="B23" s="38"/>
      <c r="C23" s="39"/>
      <c r="D23" s="162"/>
    </row>
    <row r="24" spans="1:9" x14ac:dyDescent="0.2">
      <c r="C24" s="26"/>
      <c r="D24" s="26"/>
    </row>
    <row r="25" spans="1:9" x14ac:dyDescent="0.2">
      <c r="C25" s="26"/>
      <c r="D25" s="26"/>
    </row>
    <row r="26" spans="1:9" ht="18" customHeight="1" x14ac:dyDescent="0.2">
      <c r="A26" s="273" t="s">
        <v>255</v>
      </c>
      <c r="B26" s="274"/>
      <c r="C26" s="274"/>
      <c r="D26" s="274"/>
      <c r="E26" s="274"/>
      <c r="F26" s="275"/>
    </row>
    <row r="27" spans="1:9" ht="52" customHeight="1" x14ac:dyDescent="0.2">
      <c r="A27" s="40" t="s">
        <v>76</v>
      </c>
      <c r="B27" s="40" t="s">
        <v>89</v>
      </c>
      <c r="C27" s="41" t="s">
        <v>265</v>
      </c>
      <c r="D27" s="168" t="s">
        <v>263</v>
      </c>
      <c r="E27" s="64" t="s">
        <v>133</v>
      </c>
      <c r="F27" s="64" t="s">
        <v>134</v>
      </c>
    </row>
    <row r="28" spans="1:9" ht="34" x14ac:dyDescent="0.2">
      <c r="A28" s="111" t="s">
        <v>21</v>
      </c>
      <c r="B28" s="31" t="s">
        <v>20</v>
      </c>
      <c r="C28" s="31">
        <v>1E-3</v>
      </c>
      <c r="D28" s="31">
        <f>C28*(1-$B$16)</f>
        <v>4.8750000000000074E-5</v>
      </c>
      <c r="E28" s="248">
        <f>D28*$B$10/1000</f>
        <v>4.2120000000000058E-5</v>
      </c>
      <c r="F28" s="248">
        <f>D28*$B$9/1000</f>
        <v>7.0200000000000106E-3</v>
      </c>
      <c r="H28" t="s">
        <v>274</v>
      </c>
    </row>
    <row r="29" spans="1:9" x14ac:dyDescent="0.2">
      <c r="A29" s="31" t="s">
        <v>23</v>
      </c>
      <c r="B29" s="31" t="s">
        <v>22</v>
      </c>
      <c r="C29" s="31">
        <v>1E-3</v>
      </c>
      <c r="D29" s="31">
        <f t="shared" ref="D29:D31" si="0">C29*(1-$B$16)</f>
        <v>4.8750000000000074E-5</v>
      </c>
      <c r="E29" s="248">
        <f t="shared" ref="E29:E31" si="1">D29*$B$10/1000</f>
        <v>4.2120000000000058E-5</v>
      </c>
      <c r="F29" s="248">
        <f t="shared" ref="F29:F31" si="2">D29*$B$9/1000</f>
        <v>7.0200000000000106E-3</v>
      </c>
      <c r="H29" t="s">
        <v>274</v>
      </c>
    </row>
    <row r="30" spans="1:9" x14ac:dyDescent="0.2">
      <c r="A30" s="31" t="s">
        <v>37</v>
      </c>
      <c r="B30" s="31" t="s">
        <v>36</v>
      </c>
      <c r="C30" s="31">
        <v>0.318</v>
      </c>
      <c r="D30" s="31">
        <f t="shared" si="0"/>
        <v>1.5502500000000023E-2</v>
      </c>
      <c r="E30" s="248">
        <f t="shared" si="1"/>
        <v>1.3394160000000021E-2</v>
      </c>
      <c r="F30" s="248">
        <f t="shared" si="2"/>
        <v>2.2323600000000035</v>
      </c>
      <c r="H30" t="s">
        <v>274</v>
      </c>
    </row>
    <row r="31" spans="1:9" x14ac:dyDescent="0.2">
      <c r="A31" s="31" t="s">
        <v>150</v>
      </c>
      <c r="B31" s="46">
        <v>365</v>
      </c>
      <c r="C31" s="31">
        <v>1E-3</v>
      </c>
      <c r="D31" s="31">
        <f t="shared" si="0"/>
        <v>4.8750000000000074E-5</v>
      </c>
      <c r="E31" s="248">
        <f t="shared" si="1"/>
        <v>4.2120000000000058E-5</v>
      </c>
      <c r="F31" s="248">
        <f t="shared" si="2"/>
        <v>7.0200000000000106E-3</v>
      </c>
      <c r="H31" t="s">
        <v>274</v>
      </c>
    </row>
    <row r="32" spans="1:9" x14ac:dyDescent="0.2">
      <c r="A32" s="31" t="s">
        <v>90</v>
      </c>
      <c r="B32" s="31"/>
      <c r="C32" s="31"/>
      <c r="D32" s="31"/>
      <c r="E32" s="169">
        <f>SUM(E28:E31)</f>
        <v>1.352052000000002E-2</v>
      </c>
      <c r="F32" s="47">
        <f>SUM(F28:F31)</f>
        <v>2.2534200000000033</v>
      </c>
      <c r="H32" s="53">
        <f>F32</f>
        <v>2.2534200000000033</v>
      </c>
      <c r="I32" s="48" t="s">
        <v>113</v>
      </c>
    </row>
    <row r="106" spans="1:9" x14ac:dyDescent="0.2">
      <c r="A106" s="281" t="s">
        <v>91</v>
      </c>
      <c r="B106" s="282"/>
      <c r="C106" s="282"/>
      <c r="D106" s="282"/>
      <c r="E106" s="282"/>
      <c r="F106" s="283"/>
    </row>
    <row r="107" spans="1:9" x14ac:dyDescent="0.2">
      <c r="A107" s="48" t="s">
        <v>92</v>
      </c>
      <c r="B107" s="49">
        <v>1.04E-5</v>
      </c>
      <c r="C107" s="63" t="s">
        <v>93</v>
      </c>
      <c r="D107" s="158"/>
      <c r="E107" s="51" t="s">
        <v>94</v>
      </c>
      <c r="F107" s="52" t="e">
        <f>B107*#REF!</f>
        <v>#REF!</v>
      </c>
      <c r="G107" t="s">
        <v>95</v>
      </c>
    </row>
    <row r="108" spans="1:9" x14ac:dyDescent="0.2">
      <c r="A108" s="48" t="s">
        <v>96</v>
      </c>
      <c r="B108" s="49">
        <v>1.0206E-2</v>
      </c>
      <c r="C108" s="63" t="s">
        <v>93</v>
      </c>
      <c r="D108" s="158"/>
      <c r="E108" s="51" t="s">
        <v>94</v>
      </c>
      <c r="F108" s="52" t="e">
        <f>B108*#REF!</f>
        <v>#REF!</v>
      </c>
      <c r="G108" t="s">
        <v>95</v>
      </c>
    </row>
    <row r="109" spans="1:9" x14ac:dyDescent="0.2">
      <c r="A109" s="48" t="s">
        <v>97</v>
      </c>
      <c r="B109" s="49">
        <v>2.4700000000000001E-5</v>
      </c>
      <c r="C109" s="63" t="s">
        <v>93</v>
      </c>
      <c r="D109" s="158"/>
      <c r="E109" s="51" t="s">
        <v>94</v>
      </c>
      <c r="F109" s="53" t="e">
        <f>B109*#REF!</f>
        <v>#REF!</v>
      </c>
      <c r="G109" t="s">
        <v>95</v>
      </c>
      <c r="H109" s="24" t="e">
        <f>SUM(F107:F109)</f>
        <v>#REF!</v>
      </c>
      <c r="I109" t="s">
        <v>95</v>
      </c>
    </row>
    <row r="110" spans="1:9" x14ac:dyDescent="0.2">
      <c r="A110" s="281" t="s">
        <v>98</v>
      </c>
      <c r="B110" s="282"/>
      <c r="C110" s="282"/>
      <c r="D110" s="282"/>
      <c r="E110" s="282"/>
      <c r="F110" s="283"/>
      <c r="H110" t="e">
        <f>H109*1.10231</f>
        <v>#REF!</v>
      </c>
      <c r="I110" t="s">
        <v>99</v>
      </c>
    </row>
    <row r="111" spans="1:9" x14ac:dyDescent="0.2">
      <c r="A111" s="48" t="s">
        <v>13</v>
      </c>
      <c r="B111" s="49">
        <v>7.76E-4</v>
      </c>
      <c r="C111" s="63" t="s">
        <v>100</v>
      </c>
      <c r="D111" s="158"/>
      <c r="E111" s="51" t="s">
        <v>101</v>
      </c>
      <c r="F111" s="54" t="e">
        <f>B111*#REF!*#REF!/1000000/2000</f>
        <v>#REF!</v>
      </c>
    </row>
    <row r="112" spans="1:9" x14ac:dyDescent="0.2">
      <c r="A112" s="48" t="s">
        <v>54</v>
      </c>
      <c r="B112" s="49">
        <v>2.81E-4</v>
      </c>
      <c r="C112" s="63" t="s">
        <v>100</v>
      </c>
      <c r="D112" s="158"/>
      <c r="E112" s="51" t="s">
        <v>101</v>
      </c>
      <c r="F112" s="55" t="e">
        <f>B112*#REF!*#REF!/1000000/2000</f>
        <v>#REF!</v>
      </c>
      <c r="H112">
        <v>2490</v>
      </c>
    </row>
    <row r="113" spans="1:9" x14ac:dyDescent="0.2">
      <c r="A113" s="48" t="s">
        <v>102</v>
      </c>
      <c r="B113" s="49">
        <v>1.93E-4</v>
      </c>
      <c r="C113" s="63" t="s">
        <v>100</v>
      </c>
      <c r="D113" s="158"/>
      <c r="E113" s="51" t="s">
        <v>101</v>
      </c>
      <c r="F113" s="55" t="e">
        <f>B113*#REF!*#REF!/1000000/2000</f>
        <v>#REF!</v>
      </c>
      <c r="H113">
        <f>H112*1.10231</f>
        <v>2744.7518999999998</v>
      </c>
      <c r="I113" t="s">
        <v>99</v>
      </c>
    </row>
    <row r="114" spans="1:9" x14ac:dyDescent="0.2">
      <c r="A114" s="48" t="s">
        <v>30</v>
      </c>
      <c r="B114" s="49">
        <v>7.8899999999999993E-5</v>
      </c>
      <c r="C114" s="63" t="s">
        <v>100</v>
      </c>
      <c r="D114" s="158"/>
      <c r="E114" s="51" t="s">
        <v>101</v>
      </c>
      <c r="F114" s="55" t="e">
        <f>B114*#REF!*#REF!/1000000/2000</f>
        <v>#REF!</v>
      </c>
    </row>
    <row r="115" spans="1:9" x14ac:dyDescent="0.2">
      <c r="A115" s="48" t="s">
        <v>2</v>
      </c>
      <c r="B115" s="49">
        <v>2.5199999999999999E-5</v>
      </c>
      <c r="C115" s="63" t="s">
        <v>100</v>
      </c>
      <c r="D115" s="158"/>
      <c r="E115" s="51" t="s">
        <v>101</v>
      </c>
      <c r="F115" s="56" t="e">
        <f>B115*#REF!*#REF!/1000000/2000</f>
        <v>#REF!</v>
      </c>
    </row>
    <row r="116" spans="1:9" x14ac:dyDescent="0.2">
      <c r="A116" s="48" t="s">
        <v>4</v>
      </c>
      <c r="B116" s="49">
        <v>7.8800000000000008E-6</v>
      </c>
      <c r="C116" s="63" t="s">
        <v>100</v>
      </c>
      <c r="D116" s="158"/>
      <c r="E116" s="51" t="s">
        <v>101</v>
      </c>
      <c r="F116" s="56" t="e">
        <f>B116*#REF!*#REF!/1000000/2000</f>
        <v>#REF!</v>
      </c>
    </row>
    <row r="117" spans="1:9" x14ac:dyDescent="0.2">
      <c r="A117" s="48" t="s">
        <v>103</v>
      </c>
      <c r="B117" s="49">
        <v>1.2999999999999999E-4</v>
      </c>
      <c r="C117" s="63" t="s">
        <v>100</v>
      </c>
      <c r="D117" s="158"/>
      <c r="E117" s="51" t="s">
        <v>101</v>
      </c>
      <c r="F117" s="55" t="e">
        <f>B117*#REF!*#REF!/1000000/2000</f>
        <v>#REF!</v>
      </c>
    </row>
    <row r="118" spans="1:9" x14ac:dyDescent="0.2">
      <c r="A118" s="48" t="s">
        <v>104</v>
      </c>
      <c r="B118" s="49">
        <v>2.12E-4</v>
      </c>
      <c r="C118" s="63" t="s">
        <v>100</v>
      </c>
      <c r="D118" s="158"/>
      <c r="E118" s="51" t="s">
        <v>101</v>
      </c>
      <c r="F118" s="55" t="e">
        <f>B118*#REF!*#REF!/1000000/2000</f>
        <v>#REF!</v>
      </c>
    </row>
    <row r="119" spans="1:9" x14ac:dyDescent="0.2">
      <c r="A119" s="48" t="s">
        <v>105</v>
      </c>
      <c r="B119" s="49"/>
      <c r="C119" s="63"/>
      <c r="D119" s="158"/>
      <c r="E119" s="48"/>
      <c r="F119" s="54" t="e">
        <f>SUM(F111:F118)</f>
        <v>#REF!</v>
      </c>
    </row>
    <row r="120" spans="1:9" x14ac:dyDescent="0.2">
      <c r="B120" s="57"/>
      <c r="C120" s="3"/>
      <c r="D120" s="3"/>
      <c r="F120" s="24"/>
    </row>
    <row r="121" spans="1:9" x14ac:dyDescent="0.2">
      <c r="A121" t="s">
        <v>106</v>
      </c>
      <c r="B121" s="57"/>
      <c r="C121" s="3"/>
      <c r="D121" s="3"/>
      <c r="F121" s="24"/>
    </row>
    <row r="122" spans="1:9" x14ac:dyDescent="0.2">
      <c r="A122" t="s">
        <v>107</v>
      </c>
      <c r="B122" s="57"/>
      <c r="C122" s="3"/>
      <c r="D122" s="3"/>
      <c r="F122" s="24"/>
    </row>
    <row r="123" spans="1:9" x14ac:dyDescent="0.2">
      <c r="A123" t="s">
        <v>108</v>
      </c>
      <c r="B123" s="57"/>
      <c r="C123" s="3"/>
      <c r="D123" s="3"/>
      <c r="F123" s="24"/>
    </row>
    <row r="124" spans="1:9" x14ac:dyDescent="0.2">
      <c r="A124" t="s">
        <v>109</v>
      </c>
      <c r="B124" s="57"/>
      <c r="C124" s="3"/>
      <c r="D124" s="3"/>
      <c r="F124" s="24"/>
    </row>
    <row r="125" spans="1:9" x14ac:dyDescent="0.2">
      <c r="A125" t="s">
        <v>110</v>
      </c>
      <c r="B125" s="57"/>
      <c r="C125" s="3"/>
      <c r="D125" s="3"/>
      <c r="F125" s="24"/>
    </row>
    <row r="127" spans="1:9" x14ac:dyDescent="0.2">
      <c r="A127" s="58" t="s">
        <v>111</v>
      </c>
    </row>
    <row r="129" spans="1:8" x14ac:dyDescent="0.2">
      <c r="A129" s="63" t="s">
        <v>78</v>
      </c>
      <c r="B129" s="63" t="s">
        <v>79</v>
      </c>
      <c r="C129" s="63" t="s">
        <v>80</v>
      </c>
      <c r="D129" s="158"/>
      <c r="E129" s="63" t="s">
        <v>81</v>
      </c>
      <c r="F129" s="63" t="s">
        <v>82</v>
      </c>
      <c r="G129" s="59" t="s">
        <v>112</v>
      </c>
      <c r="H129" s="63" t="s">
        <v>113</v>
      </c>
    </row>
    <row r="130" spans="1:8" x14ac:dyDescent="0.2">
      <c r="A130" s="270" t="s">
        <v>62</v>
      </c>
      <c r="B130" s="284"/>
      <c r="C130" s="284"/>
      <c r="D130" s="284"/>
      <c r="E130" s="284"/>
      <c r="F130" s="284"/>
      <c r="G130" s="284"/>
      <c r="H130" s="271"/>
    </row>
    <row r="131" spans="1:8" x14ac:dyDescent="0.2">
      <c r="A131" s="60" t="e">
        <f>#REF!</f>
        <v>#REF!</v>
      </c>
      <c r="B131" s="60" t="e">
        <f>#REF!</f>
        <v>#REF!</v>
      </c>
      <c r="C131" s="60" t="e">
        <f>#REF!</f>
        <v>#REF!</v>
      </c>
      <c r="D131" s="60"/>
      <c r="E131" s="61" t="e">
        <f>#REF!</f>
        <v>#REF!</v>
      </c>
      <c r="F131" s="61" t="e">
        <f>#REF!</f>
        <v>#REF!</v>
      </c>
      <c r="G131" s="60" t="e">
        <f>SUM(F107:F109)</f>
        <v>#REF!</v>
      </c>
      <c r="H131" s="54" t="e">
        <f>F119</f>
        <v>#REF!</v>
      </c>
    </row>
    <row r="135" spans="1:8" ht="24" x14ac:dyDescent="0.3">
      <c r="A135" s="62"/>
      <c r="C135" s="12"/>
      <c r="D135" s="12"/>
      <c r="E135" s="12"/>
      <c r="F135" s="12"/>
      <c r="G135" s="13"/>
    </row>
    <row r="136" spans="1:8" ht="24" x14ac:dyDescent="0.3">
      <c r="A136" s="62"/>
      <c r="C136" s="12"/>
      <c r="D136" s="12"/>
      <c r="E136" s="12"/>
      <c r="F136" s="12"/>
      <c r="G136" s="13"/>
    </row>
    <row r="137" spans="1:8" ht="24" x14ac:dyDescent="0.3">
      <c r="A137" s="62"/>
      <c r="C137" s="12"/>
      <c r="D137" s="12"/>
      <c r="E137" s="12"/>
      <c r="F137" s="12"/>
      <c r="G137" s="13"/>
    </row>
    <row r="138" spans="1:8" ht="24" x14ac:dyDescent="0.3">
      <c r="A138" s="62"/>
      <c r="C138" s="12"/>
      <c r="D138" s="12"/>
      <c r="E138" s="12"/>
      <c r="F138" s="12"/>
      <c r="G138" s="13"/>
    </row>
    <row r="139" spans="1:8" ht="24" x14ac:dyDescent="0.3">
      <c r="A139" s="62"/>
      <c r="C139" s="12"/>
      <c r="D139" s="12"/>
      <c r="E139" s="12"/>
      <c r="F139" s="12"/>
      <c r="G139" s="13"/>
    </row>
    <row r="140" spans="1:8" ht="24" x14ac:dyDescent="0.3">
      <c r="A140" s="62"/>
      <c r="C140" s="12"/>
      <c r="D140" s="12"/>
      <c r="E140" s="12"/>
      <c r="F140" s="12"/>
      <c r="G140" s="13"/>
    </row>
    <row r="141" spans="1:8" ht="24" x14ac:dyDescent="0.3">
      <c r="A141" s="62"/>
      <c r="C141" s="12"/>
      <c r="D141" s="12"/>
      <c r="E141" s="12"/>
      <c r="F141" s="12"/>
      <c r="G141" s="13"/>
    </row>
    <row r="142" spans="1:8" ht="24" x14ac:dyDescent="0.3">
      <c r="A142" s="62"/>
      <c r="B142" s="11"/>
      <c r="C142" s="12"/>
      <c r="D142" s="12"/>
      <c r="E142" s="12"/>
      <c r="F142" s="12"/>
      <c r="G142" s="13"/>
    </row>
    <row r="144" spans="1:8" x14ac:dyDescent="0.2">
      <c r="A144" s="58"/>
    </row>
    <row r="145" spans="1:7" x14ac:dyDescent="0.2">
      <c r="A145" s="58"/>
    </row>
    <row r="146" spans="1:7" x14ac:dyDescent="0.2">
      <c r="A146" t="s">
        <v>114</v>
      </c>
      <c r="B146" s="22">
        <v>624500</v>
      </c>
      <c r="C146" t="s">
        <v>115</v>
      </c>
    </row>
    <row r="147" spans="1:7" x14ac:dyDescent="0.2">
      <c r="A147" t="s">
        <v>116</v>
      </c>
      <c r="B147" s="22">
        <v>138000</v>
      </c>
      <c r="C147" t="s">
        <v>117</v>
      </c>
    </row>
    <row r="149" spans="1:7" ht="20" customHeight="1" x14ac:dyDescent="0.2">
      <c r="A149" s="285" t="s">
        <v>76</v>
      </c>
      <c r="B149" s="286" t="s">
        <v>118</v>
      </c>
      <c r="C149" s="286"/>
      <c r="D149" s="286"/>
      <c r="E149" s="286"/>
      <c r="F149" s="287" t="s">
        <v>119</v>
      </c>
    </row>
    <row r="150" spans="1:7" ht="31" customHeight="1" x14ac:dyDescent="0.2">
      <c r="A150" s="285"/>
      <c r="B150" s="63" t="s">
        <v>120</v>
      </c>
      <c r="C150" s="63" t="s">
        <v>121</v>
      </c>
      <c r="D150" s="158"/>
      <c r="E150" s="63" t="s">
        <v>0</v>
      </c>
      <c r="F150" s="288"/>
    </row>
    <row r="151" spans="1:7" ht="17" customHeight="1" x14ac:dyDescent="0.2">
      <c r="A151" s="278" t="s">
        <v>122</v>
      </c>
      <c r="B151" s="279"/>
      <c r="C151" s="279"/>
      <c r="D151" s="279"/>
      <c r="E151" s="279"/>
      <c r="F151" s="280"/>
    </row>
    <row r="152" spans="1:7" x14ac:dyDescent="0.2">
      <c r="A152" s="48" t="s">
        <v>78</v>
      </c>
      <c r="B152" s="49" t="e">
        <f>#REF!</f>
        <v>#REF!</v>
      </c>
      <c r="C152" s="63" t="s">
        <v>123</v>
      </c>
      <c r="D152" s="158"/>
      <c r="E152" s="51" t="s">
        <v>124</v>
      </c>
      <c r="F152" s="52" t="e">
        <f>B152*$B$146/2000</f>
        <v>#REF!</v>
      </c>
    </row>
    <row r="153" spans="1:7" x14ac:dyDescent="0.2">
      <c r="A153" s="48" t="s">
        <v>79</v>
      </c>
      <c r="B153" s="49" t="e">
        <f>#REF!</f>
        <v>#REF!</v>
      </c>
      <c r="C153" s="63" t="s">
        <v>123</v>
      </c>
      <c r="D153" s="158"/>
      <c r="E153" s="51" t="s">
        <v>124</v>
      </c>
      <c r="F153" s="52" t="e">
        <f>B153*$B$146/2000</f>
        <v>#REF!</v>
      </c>
    </row>
    <row r="154" spans="1:7" x14ac:dyDescent="0.2">
      <c r="A154" s="48" t="s">
        <v>80</v>
      </c>
      <c r="B154" s="49" t="e">
        <f>#REF!</f>
        <v>#REF!</v>
      </c>
      <c r="C154" s="63" t="s">
        <v>123</v>
      </c>
      <c r="D154" s="158"/>
      <c r="E154" s="51" t="s">
        <v>124</v>
      </c>
      <c r="F154" s="53" t="e">
        <f>B154*$B$146/2000</f>
        <v>#REF!</v>
      </c>
    </row>
    <row r="155" spans="1:7" x14ac:dyDescent="0.2">
      <c r="A155" s="48" t="s">
        <v>81</v>
      </c>
      <c r="B155" s="49" t="e">
        <f>#REF!</f>
        <v>#REF!</v>
      </c>
      <c r="C155" s="63" t="s">
        <v>123</v>
      </c>
      <c r="D155" s="158"/>
      <c r="E155" s="51" t="s">
        <v>124</v>
      </c>
      <c r="F155" s="53" t="e">
        <f>B155*$B$146/2000</f>
        <v>#REF!</v>
      </c>
    </row>
    <row r="156" spans="1:7" x14ac:dyDescent="0.2">
      <c r="A156" s="48" t="s">
        <v>82</v>
      </c>
      <c r="B156" s="49" t="e">
        <f>#REF!</f>
        <v>#REF!</v>
      </c>
      <c r="C156" s="63" t="s">
        <v>123</v>
      </c>
      <c r="D156" s="158"/>
      <c r="E156" s="51" t="s">
        <v>124</v>
      </c>
      <c r="F156" s="53" t="e">
        <f>B156*$B$146/2000</f>
        <v>#REF!</v>
      </c>
    </row>
    <row r="157" spans="1:7" x14ac:dyDescent="0.2">
      <c r="A157" s="48" t="s">
        <v>125</v>
      </c>
      <c r="B157" s="49">
        <v>8.3000000000000001E-3</v>
      </c>
      <c r="C157" s="63" t="s">
        <v>126</v>
      </c>
      <c r="D157" s="158"/>
      <c r="E157" s="51" t="s">
        <v>127</v>
      </c>
      <c r="F157" s="55">
        <f>B157*B146/1000/2000</f>
        <v>2.5916750000000003E-3</v>
      </c>
    </row>
    <row r="158" spans="1:7" x14ac:dyDescent="0.2">
      <c r="A158" s="281" t="s">
        <v>91</v>
      </c>
      <c r="B158" s="282"/>
      <c r="C158" s="282"/>
      <c r="D158" s="282"/>
      <c r="E158" s="282"/>
      <c r="F158" s="283"/>
    </row>
    <row r="159" spans="1:7" x14ac:dyDescent="0.2">
      <c r="A159" s="48" t="s">
        <v>92</v>
      </c>
      <c r="B159" s="49">
        <v>1.04E-5</v>
      </c>
      <c r="C159" s="63" t="s">
        <v>93</v>
      </c>
      <c r="D159" s="158"/>
      <c r="E159" s="51" t="s">
        <v>94</v>
      </c>
      <c r="F159" s="52">
        <f>B159*$B$146</f>
        <v>6.4948000000000006</v>
      </c>
      <c r="G159" t="s">
        <v>95</v>
      </c>
    </row>
    <row r="160" spans="1:7" x14ac:dyDescent="0.2">
      <c r="A160" s="48" t="s">
        <v>96</v>
      </c>
      <c r="B160" s="49">
        <v>1.0206E-2</v>
      </c>
      <c r="C160" s="63" t="s">
        <v>93</v>
      </c>
      <c r="D160" s="158"/>
      <c r="E160" s="51" t="s">
        <v>94</v>
      </c>
      <c r="F160" s="65">
        <f>B160*$B$146</f>
        <v>6373.6469999999999</v>
      </c>
      <c r="G160" t="s">
        <v>95</v>
      </c>
    </row>
    <row r="161" spans="1:7" x14ac:dyDescent="0.2">
      <c r="A161" s="48" t="s">
        <v>97</v>
      </c>
      <c r="B161" s="49">
        <v>2.4700000000000001E-5</v>
      </c>
      <c r="C161" s="63" t="s">
        <v>93</v>
      </c>
      <c r="D161" s="158"/>
      <c r="E161" s="51" t="s">
        <v>94</v>
      </c>
      <c r="F161" s="52">
        <f>B161*$B$146</f>
        <v>15.42515</v>
      </c>
      <c r="G161" t="s">
        <v>95</v>
      </c>
    </row>
    <row r="162" spans="1:7" x14ac:dyDescent="0.2">
      <c r="A162" s="281" t="s">
        <v>98</v>
      </c>
      <c r="B162" s="282"/>
      <c r="C162" s="282"/>
      <c r="D162" s="282"/>
      <c r="E162" s="282"/>
      <c r="F162" s="283"/>
    </row>
    <row r="163" spans="1:7" x14ac:dyDescent="0.2">
      <c r="A163" s="48" t="s">
        <v>13</v>
      </c>
      <c r="B163" s="49">
        <v>7.76E-4</v>
      </c>
      <c r="C163" s="63" t="s">
        <v>100</v>
      </c>
      <c r="D163" s="158"/>
      <c r="E163" s="51" t="s">
        <v>101</v>
      </c>
      <c r="F163" s="54">
        <f t="shared" ref="F163:F170" si="3">B163*$B$146*$B$147/1000000/2000</f>
        <v>3.3438228E-2</v>
      </c>
    </row>
    <row r="164" spans="1:7" x14ac:dyDescent="0.2">
      <c r="A164" s="48" t="s">
        <v>54</v>
      </c>
      <c r="B164" s="49">
        <v>2.81E-4</v>
      </c>
      <c r="C164" s="63" t="s">
        <v>100</v>
      </c>
      <c r="D164" s="158"/>
      <c r="E164" s="51" t="s">
        <v>101</v>
      </c>
      <c r="F164" s="55">
        <f t="shared" si="3"/>
        <v>1.2108430500000001E-2</v>
      </c>
    </row>
    <row r="165" spans="1:7" x14ac:dyDescent="0.2">
      <c r="A165" s="48" t="s">
        <v>102</v>
      </c>
      <c r="B165" s="49">
        <v>1.93E-4</v>
      </c>
      <c r="C165" s="63" t="s">
        <v>100</v>
      </c>
      <c r="D165" s="158"/>
      <c r="E165" s="51" t="s">
        <v>101</v>
      </c>
      <c r="F165" s="55">
        <f t="shared" si="3"/>
        <v>8.3164665000000013E-3</v>
      </c>
    </row>
    <row r="166" spans="1:7" x14ac:dyDescent="0.2">
      <c r="A166" s="48" t="s">
        <v>30</v>
      </c>
      <c r="B166" s="49">
        <v>7.8899999999999993E-5</v>
      </c>
      <c r="C166" s="63" t="s">
        <v>100</v>
      </c>
      <c r="D166" s="158"/>
      <c r="E166" s="51" t="s">
        <v>101</v>
      </c>
      <c r="F166" s="55">
        <f t="shared" si="3"/>
        <v>3.3998404499999998E-3</v>
      </c>
    </row>
    <row r="167" spans="1:7" x14ac:dyDescent="0.2">
      <c r="A167" s="48" t="s">
        <v>2</v>
      </c>
      <c r="B167" s="49">
        <v>2.5199999999999999E-5</v>
      </c>
      <c r="C167" s="63" t="s">
        <v>100</v>
      </c>
      <c r="D167" s="158"/>
      <c r="E167" s="51" t="s">
        <v>101</v>
      </c>
      <c r="F167" s="56">
        <f t="shared" si="3"/>
        <v>1.0858805999999998E-3</v>
      </c>
    </row>
    <row r="168" spans="1:7" x14ac:dyDescent="0.2">
      <c r="A168" s="48" t="s">
        <v>4</v>
      </c>
      <c r="B168" s="49">
        <v>7.8800000000000008E-6</v>
      </c>
      <c r="C168" s="63" t="s">
        <v>100</v>
      </c>
      <c r="D168" s="158"/>
      <c r="E168" s="51" t="s">
        <v>101</v>
      </c>
      <c r="F168" s="56">
        <f t="shared" si="3"/>
        <v>3.3955314000000007E-4</v>
      </c>
    </row>
    <row r="169" spans="1:7" x14ac:dyDescent="0.2">
      <c r="A169" s="48" t="s">
        <v>103</v>
      </c>
      <c r="B169" s="49">
        <v>1.2999999999999999E-4</v>
      </c>
      <c r="C169" s="63" t="s">
        <v>100</v>
      </c>
      <c r="D169" s="158"/>
      <c r="E169" s="51" t="s">
        <v>101</v>
      </c>
      <c r="F169" s="55">
        <f t="shared" si="3"/>
        <v>5.6017649999999999E-3</v>
      </c>
    </row>
    <row r="170" spans="1:7" x14ac:dyDescent="0.2">
      <c r="A170" s="48" t="s">
        <v>104</v>
      </c>
      <c r="B170" s="49">
        <v>2.12E-4</v>
      </c>
      <c r="C170" s="63" t="s">
        <v>100</v>
      </c>
      <c r="D170" s="158"/>
      <c r="E170" s="51" t="s">
        <v>101</v>
      </c>
      <c r="F170" s="55">
        <f t="shared" si="3"/>
        <v>9.135186E-3</v>
      </c>
    </row>
    <row r="171" spans="1:7" x14ac:dyDescent="0.2">
      <c r="A171" s="48" t="s">
        <v>105</v>
      </c>
      <c r="B171" s="49"/>
      <c r="C171" s="63"/>
      <c r="D171" s="158"/>
      <c r="E171" s="48"/>
      <c r="F171" s="54">
        <f>SUM(F163:F170)</f>
        <v>7.3425350190000002E-2</v>
      </c>
    </row>
    <row r="172" spans="1:7" x14ac:dyDescent="0.2">
      <c r="B172" s="57"/>
      <c r="C172" s="3"/>
      <c r="D172" s="3"/>
      <c r="F172" s="24"/>
    </row>
    <row r="173" spans="1:7" x14ac:dyDescent="0.2">
      <c r="A173" t="s">
        <v>106</v>
      </c>
      <c r="B173" s="57"/>
      <c r="C173" s="3"/>
      <c r="D173" s="3"/>
      <c r="F173" s="24"/>
    </row>
    <row r="174" spans="1:7" x14ac:dyDescent="0.2">
      <c r="A174" t="s">
        <v>107</v>
      </c>
      <c r="B174" s="57"/>
      <c r="C174" s="3"/>
      <c r="D174" s="3"/>
      <c r="F174" s="24"/>
    </row>
    <row r="175" spans="1:7" x14ac:dyDescent="0.2">
      <c r="A175" t="s">
        <v>108</v>
      </c>
      <c r="B175" s="57"/>
      <c r="C175" s="3"/>
      <c r="D175" s="3"/>
      <c r="F175" s="24"/>
    </row>
    <row r="176" spans="1:7" x14ac:dyDescent="0.2">
      <c r="A176" t="s">
        <v>109</v>
      </c>
      <c r="B176" s="57"/>
      <c r="C176" s="3"/>
      <c r="D176" s="3"/>
      <c r="F176" s="24"/>
    </row>
    <row r="177" spans="1:8" x14ac:dyDescent="0.2">
      <c r="B177" s="57"/>
      <c r="C177" s="3"/>
      <c r="D177" s="3"/>
      <c r="F177" s="24"/>
    </row>
    <row r="179" spans="1:8" x14ac:dyDescent="0.2">
      <c r="A179" s="58" t="s">
        <v>128</v>
      </c>
    </row>
    <row r="181" spans="1:8" x14ac:dyDescent="0.2">
      <c r="A181" s="63" t="s">
        <v>78</v>
      </c>
      <c r="B181" s="63" t="s">
        <v>79</v>
      </c>
      <c r="C181" s="63" t="s">
        <v>80</v>
      </c>
      <c r="D181" s="158"/>
      <c r="E181" s="63" t="s">
        <v>81</v>
      </c>
      <c r="F181" s="63" t="s">
        <v>82</v>
      </c>
      <c r="G181" s="59" t="s">
        <v>112</v>
      </c>
      <c r="H181" s="63" t="s">
        <v>113</v>
      </c>
    </row>
    <row r="182" spans="1:8" x14ac:dyDescent="0.2">
      <c r="A182" s="270" t="s">
        <v>62</v>
      </c>
      <c r="B182" s="284"/>
      <c r="C182" s="284"/>
      <c r="D182" s="284"/>
      <c r="E182" s="284"/>
      <c r="F182" s="284"/>
      <c r="G182" s="284"/>
      <c r="H182" s="271"/>
    </row>
    <row r="183" spans="1:8" x14ac:dyDescent="0.2">
      <c r="A183" s="60" t="e">
        <f>F152</f>
        <v>#REF!</v>
      </c>
      <c r="B183" s="60" t="e">
        <f>F153</f>
        <v>#REF!</v>
      </c>
      <c r="C183" s="60" t="e">
        <f>F154</f>
        <v>#REF!</v>
      </c>
      <c r="D183" s="60"/>
      <c r="E183" s="61" t="e">
        <f>F155</f>
        <v>#REF!</v>
      </c>
      <c r="F183" s="61" t="e">
        <f>F156</f>
        <v>#REF!</v>
      </c>
      <c r="G183" s="60">
        <f>SUM(F159:F161)</f>
        <v>6395.5669500000004</v>
      </c>
      <c r="H183" s="54">
        <f>F171</f>
        <v>7.3425350190000002E-2</v>
      </c>
    </row>
  </sheetData>
  <mergeCells count="12">
    <mergeCell ref="A26:F26"/>
    <mergeCell ref="A106:F106"/>
    <mergeCell ref="A110:F110"/>
    <mergeCell ref="A162:F162"/>
    <mergeCell ref="A19:D19"/>
    <mergeCell ref="A182:H182"/>
    <mergeCell ref="A130:H130"/>
    <mergeCell ref="A149:A150"/>
    <mergeCell ref="B149:E149"/>
    <mergeCell ref="F149:F150"/>
    <mergeCell ref="A151:F151"/>
    <mergeCell ref="A158:F158"/>
  </mergeCells>
  <printOptions horizontalCentered="1"/>
  <pageMargins left="0.75" right="0.75" top="1" bottom="1" header="0.5" footer="0.5"/>
  <pageSetup scale="93" orientation="portrait" horizontalDpi="4294967292" verticalDpi="4294967292"/>
  <headerFooter>
    <oddFooter>&amp;L&amp;"Calibri,Regular"&amp;K000000&amp;D</oddFooter>
  </headerFooter>
  <drawing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03CD6-8CF9-4749-A411-0DC7DD456479}">
  <dimension ref="A1:R35"/>
  <sheetViews>
    <sheetView tabSelected="1" topLeftCell="A4" zoomScale="140" zoomScaleNormal="140" workbookViewId="0">
      <selection activeCell="H20" sqref="H20:H22"/>
    </sheetView>
  </sheetViews>
  <sheetFormatPr baseColWidth="10" defaultColWidth="9.1640625" defaultRowHeight="15" x14ac:dyDescent="0.2"/>
  <cols>
    <col min="1" max="1" width="32.83203125" style="218" customWidth="1"/>
    <col min="2" max="17" width="14.6640625" style="218" customWidth="1"/>
    <col min="18" max="16384" width="9.1640625" style="218"/>
  </cols>
  <sheetData>
    <row r="1" spans="1:18" x14ac:dyDescent="0.2">
      <c r="A1" s="217" t="s">
        <v>153</v>
      </c>
    </row>
    <row r="2" spans="1:18" x14ac:dyDescent="0.2">
      <c r="A2" s="217" t="s">
        <v>312</v>
      </c>
    </row>
    <row r="3" spans="1:18" x14ac:dyDescent="0.2">
      <c r="A3" s="217" t="s">
        <v>363</v>
      </c>
    </row>
    <row r="5" spans="1:18" ht="17" x14ac:dyDescent="0.25">
      <c r="A5" s="217" t="s">
        <v>313</v>
      </c>
    </row>
    <row r="6" spans="1:18" ht="50" x14ac:dyDescent="0.2">
      <c r="A6" s="219" t="s">
        <v>314</v>
      </c>
      <c r="B6" s="219" t="s">
        <v>315</v>
      </c>
      <c r="C6" s="219" t="s">
        <v>316</v>
      </c>
      <c r="D6" s="219" t="s">
        <v>317</v>
      </c>
      <c r="E6" s="219" t="s">
        <v>318</v>
      </c>
      <c r="F6" s="219" t="s">
        <v>319</v>
      </c>
      <c r="G6" s="219" t="s">
        <v>320</v>
      </c>
      <c r="H6" s="219" t="s">
        <v>321</v>
      </c>
      <c r="I6" s="219" t="s">
        <v>375</v>
      </c>
      <c r="J6" s="246" t="s">
        <v>364</v>
      </c>
      <c r="K6" s="220" t="s">
        <v>323</v>
      </c>
      <c r="L6" s="220" t="s">
        <v>324</v>
      </c>
      <c r="M6" s="220" t="s">
        <v>325</v>
      </c>
      <c r="N6" s="220" t="s">
        <v>326</v>
      </c>
      <c r="O6" s="221" t="s">
        <v>327</v>
      </c>
      <c r="P6" s="221" t="s">
        <v>328</v>
      </c>
      <c r="Q6" s="221" t="s">
        <v>329</v>
      </c>
      <c r="R6" s="221" t="s">
        <v>330</v>
      </c>
    </row>
    <row r="7" spans="1:18" x14ac:dyDescent="0.2">
      <c r="A7" s="222" t="s">
        <v>346</v>
      </c>
      <c r="B7" s="223" t="s">
        <v>331</v>
      </c>
      <c r="C7" s="223" t="s">
        <v>347</v>
      </c>
      <c r="D7" s="223">
        <v>0.75</v>
      </c>
      <c r="E7" s="245">
        <f>CONVERT(0.001,"m","in")</f>
        <v>3.937007874015748E-2</v>
      </c>
      <c r="F7" s="223">
        <v>2000</v>
      </c>
      <c r="G7" s="223" t="s">
        <v>349</v>
      </c>
      <c r="H7" s="262">
        <v>0.95</v>
      </c>
      <c r="I7" s="262">
        <v>0.5</v>
      </c>
      <c r="J7" s="223">
        <v>7.83</v>
      </c>
      <c r="K7" s="224">
        <f>J7*0.036127</f>
        <v>0.28287441000000002</v>
      </c>
      <c r="L7" s="223">
        <v>5</v>
      </c>
      <c r="M7" s="225">
        <f>D7*E7*K7*(L7/100)</f>
        <v>4.1762954232283468E-4</v>
      </c>
      <c r="N7" s="223">
        <f>F7*60</f>
        <v>120000</v>
      </c>
      <c r="O7" s="224">
        <f>M7*N7</f>
        <v>50.115545078740162</v>
      </c>
      <c r="P7" s="225">
        <f>O7*((1-H7))*(1-I7)</f>
        <v>1.2528886269685051</v>
      </c>
      <c r="Q7" s="224">
        <f t="shared" ref="Q7:R9" si="0">O7*8760/2000</f>
        <v>219.5060874448819</v>
      </c>
      <c r="R7" s="224">
        <f t="shared" si="0"/>
        <v>5.4876521861220526</v>
      </c>
    </row>
    <row r="8" spans="1:18" x14ac:dyDescent="0.2">
      <c r="A8" s="222" t="s">
        <v>361</v>
      </c>
      <c r="B8" s="223" t="s">
        <v>331</v>
      </c>
      <c r="C8" s="223" t="s">
        <v>336</v>
      </c>
      <c r="D8" s="223">
        <f>3/16</f>
        <v>0.1875</v>
      </c>
      <c r="E8" s="245">
        <f>CONVERT(0.0004,"m","in")</f>
        <v>1.5748031496062992E-2</v>
      </c>
      <c r="F8" s="223">
        <v>400</v>
      </c>
      <c r="G8" s="223" t="s">
        <v>349</v>
      </c>
      <c r="H8" s="262">
        <v>0.95</v>
      </c>
      <c r="I8" s="262">
        <v>0.5</v>
      </c>
      <c r="J8" s="223">
        <v>8.9600000000000009</v>
      </c>
      <c r="K8" s="224">
        <f>J8*0.036127</f>
        <v>0.32369792000000003</v>
      </c>
      <c r="L8" s="223">
        <v>5</v>
      </c>
      <c r="M8" s="225">
        <f>D8*E8*K8*(L8/100)</f>
        <v>4.7790047244094496E-5</v>
      </c>
      <c r="N8" s="223">
        <f>F8*60</f>
        <v>24000</v>
      </c>
      <c r="O8" s="224">
        <f>M8*N8</f>
        <v>1.1469611338582679</v>
      </c>
      <c r="P8" s="225">
        <f t="shared" ref="P8:P9" si="1">O8*((1-H8))*(1-I8)</f>
        <v>2.8674028346456725E-2</v>
      </c>
      <c r="Q8" s="224">
        <f t="shared" si="0"/>
        <v>5.0236897662992135</v>
      </c>
      <c r="R8" s="245">
        <f t="shared" si="0"/>
        <v>0.12559224415748044</v>
      </c>
    </row>
    <row r="9" spans="1:18" x14ac:dyDescent="0.2">
      <c r="A9" s="222" t="s">
        <v>362</v>
      </c>
      <c r="B9" s="223" t="s">
        <v>331</v>
      </c>
      <c r="C9" s="223" t="s">
        <v>348</v>
      </c>
      <c r="D9" s="223">
        <v>0.09</v>
      </c>
      <c r="E9" s="245">
        <f>CONVERT(0.0002,"m","in")</f>
        <v>7.874015748031496E-3</v>
      </c>
      <c r="F9" s="223">
        <v>1000</v>
      </c>
      <c r="G9" s="223" t="s">
        <v>349</v>
      </c>
      <c r="H9" s="262">
        <v>0.95</v>
      </c>
      <c r="I9" s="262">
        <v>0.5</v>
      </c>
      <c r="J9" s="223">
        <v>2.7</v>
      </c>
      <c r="K9" s="224">
        <f>J9*0.036127</f>
        <v>9.7542900000000002E-2</v>
      </c>
      <c r="L9" s="223">
        <v>5</v>
      </c>
      <c r="M9" s="225">
        <f>D9*E9*K9*(L9/100)</f>
        <v>3.4562444881889765E-6</v>
      </c>
      <c r="N9" s="223">
        <f>F9*60</f>
        <v>60000</v>
      </c>
      <c r="O9" s="224">
        <f>M9*N9</f>
        <v>0.2073746692913386</v>
      </c>
      <c r="P9" s="225">
        <f t="shared" si="1"/>
        <v>5.1843667322834701E-3</v>
      </c>
      <c r="Q9" s="224">
        <f t="shared" si="0"/>
        <v>0.90830105149606311</v>
      </c>
      <c r="R9" s="245">
        <f t="shared" si="0"/>
        <v>2.2707526287401598E-2</v>
      </c>
    </row>
    <row r="10" spans="1:18" x14ac:dyDescent="0.2">
      <c r="B10" s="226"/>
      <c r="C10" s="226"/>
      <c r="D10" s="226"/>
      <c r="E10" s="226"/>
      <c r="F10" s="226"/>
      <c r="G10" s="226"/>
      <c r="H10" s="226"/>
      <c r="I10" s="226"/>
      <c r="J10" s="226"/>
      <c r="K10" s="227"/>
      <c r="L10" s="226"/>
      <c r="M10" s="228"/>
      <c r="N10" s="229" t="s">
        <v>332</v>
      </c>
      <c r="O10" s="227">
        <f>SUM(O7:O9)</f>
        <v>51.469880881889772</v>
      </c>
      <c r="P10" s="227">
        <f t="shared" ref="P10:R10" si="2">SUM(P7:P9)</f>
        <v>1.2867470220472454</v>
      </c>
      <c r="Q10" s="227">
        <f t="shared" si="2"/>
        <v>225.43807826267718</v>
      </c>
      <c r="R10" s="227">
        <f t="shared" si="2"/>
        <v>5.6359519565669345</v>
      </c>
    </row>
    <row r="11" spans="1:18" x14ac:dyDescent="0.2">
      <c r="B11" s="226"/>
      <c r="C11" s="226"/>
      <c r="D11" s="226"/>
      <c r="E11" s="226"/>
      <c r="F11" s="226"/>
      <c r="G11" s="226"/>
      <c r="H11" s="226"/>
      <c r="I11" s="226"/>
      <c r="J11" s="227"/>
      <c r="K11" s="226"/>
      <c r="L11" s="228"/>
      <c r="M11" s="229"/>
      <c r="N11" s="227"/>
      <c r="O11" s="228"/>
      <c r="P11" s="227"/>
      <c r="Q11" s="228"/>
    </row>
    <row r="12" spans="1:18" x14ac:dyDescent="0.2">
      <c r="B12" s="226"/>
      <c r="C12" s="226"/>
      <c r="D12" s="226"/>
      <c r="E12" s="226"/>
      <c r="F12" s="226"/>
      <c r="G12" s="226"/>
      <c r="H12" s="226"/>
      <c r="I12" s="226"/>
      <c r="J12" s="227"/>
      <c r="K12" s="226"/>
      <c r="L12" s="228"/>
      <c r="M12" s="229"/>
      <c r="N12" s="227"/>
      <c r="O12" s="228"/>
      <c r="P12" s="227"/>
      <c r="Q12" s="228"/>
    </row>
    <row r="13" spans="1:18" x14ac:dyDescent="0.2">
      <c r="B13" s="226"/>
      <c r="C13" s="226"/>
      <c r="D13" s="226"/>
      <c r="E13" s="226"/>
      <c r="F13" s="226"/>
      <c r="G13" s="226"/>
      <c r="H13" s="226"/>
      <c r="I13" s="226"/>
      <c r="J13" s="227"/>
      <c r="K13" s="226"/>
      <c r="L13" s="228"/>
      <c r="M13" s="229"/>
      <c r="N13" s="227"/>
      <c r="O13" s="228"/>
      <c r="P13" s="227"/>
      <c r="Q13" s="228"/>
    </row>
    <row r="14" spans="1:18" x14ac:dyDescent="0.2">
      <c r="B14" s="226"/>
      <c r="C14" s="226"/>
      <c r="D14" s="226"/>
      <c r="E14" s="226"/>
      <c r="F14" s="226"/>
      <c r="G14" s="226"/>
      <c r="H14" s="226"/>
      <c r="I14" s="226"/>
      <c r="J14" s="227"/>
      <c r="K14" s="226"/>
      <c r="L14" s="228"/>
      <c r="M14" s="229"/>
      <c r="N14" s="227"/>
      <c r="O14" s="228"/>
      <c r="P14" s="227"/>
      <c r="Q14" s="228"/>
    </row>
    <row r="15" spans="1:18" ht="15" customHeight="1" x14ac:dyDescent="0.2"/>
    <row r="16" spans="1:18" ht="15" customHeight="1" x14ac:dyDescent="0.2">
      <c r="A16" s="230" t="s">
        <v>333</v>
      </c>
      <c r="B16" s="231"/>
      <c r="C16" s="231"/>
      <c r="D16" s="231"/>
      <c r="E16" s="231"/>
      <c r="F16" s="231"/>
      <c r="G16" s="231"/>
    </row>
    <row r="17" spans="1:12" ht="45" customHeight="1" x14ac:dyDescent="0.2">
      <c r="A17" s="232" t="s">
        <v>76</v>
      </c>
      <c r="B17" s="232" t="s">
        <v>334</v>
      </c>
      <c r="C17" s="221" t="s">
        <v>335</v>
      </c>
      <c r="D17" s="221" t="s">
        <v>327</v>
      </c>
      <c r="E17" s="221" t="s">
        <v>328</v>
      </c>
      <c r="F17" s="221" t="s">
        <v>329</v>
      </c>
      <c r="G17" s="221" t="s">
        <v>330</v>
      </c>
    </row>
    <row r="18" spans="1:12" ht="15" customHeight="1" x14ac:dyDescent="0.2">
      <c r="A18" s="233" t="s">
        <v>356</v>
      </c>
      <c r="B18" s="233" t="s">
        <v>24</v>
      </c>
      <c r="C18" s="234">
        <v>1.4E-2</v>
      </c>
      <c r="D18" s="235">
        <f>O7*$C$18</f>
        <v>0.7016176311023623</v>
      </c>
      <c r="E18" s="235">
        <f>P7*$C$18</f>
        <v>1.7540440777559074E-2</v>
      </c>
      <c r="F18" s="235">
        <f>Q7*$C$18</f>
        <v>3.0730852242283468</v>
      </c>
      <c r="G18" s="235">
        <f>R7*$C$18</f>
        <v>7.6827130605708741E-2</v>
      </c>
      <c r="H18" s="296" t="s">
        <v>359</v>
      </c>
      <c r="I18" s="296" t="s">
        <v>360</v>
      </c>
    </row>
    <row r="19" spans="1:12" ht="15" customHeight="1" x14ac:dyDescent="0.2">
      <c r="A19" s="233" t="s">
        <v>357</v>
      </c>
      <c r="B19" s="233" t="s">
        <v>24</v>
      </c>
      <c r="C19" s="234">
        <v>1</v>
      </c>
      <c r="D19" s="235">
        <f>O8*$C$19</f>
        <v>1.1469611338582679</v>
      </c>
      <c r="E19" s="235">
        <f>P8*$C$19</f>
        <v>2.8674028346456725E-2</v>
      </c>
      <c r="F19" s="235">
        <f>Q8*$C$19</f>
        <v>5.0236897662992135</v>
      </c>
      <c r="G19" s="235">
        <f>R8*$C$19</f>
        <v>0.12559224415748044</v>
      </c>
      <c r="H19" s="296"/>
      <c r="I19" s="296"/>
    </row>
    <row r="20" spans="1:12" ht="15" customHeight="1" x14ac:dyDescent="0.2">
      <c r="A20" s="233" t="s">
        <v>358</v>
      </c>
      <c r="B20" s="233" t="s">
        <v>24</v>
      </c>
      <c r="C20" s="234"/>
      <c r="D20" s="235">
        <f>D18+D19</f>
        <v>1.8485787649606302</v>
      </c>
      <c r="E20" s="235">
        <f t="shared" ref="E20:G20" si="3">E18+E19</f>
        <v>4.6214469124015799E-2</v>
      </c>
      <c r="F20" s="235">
        <f t="shared" si="3"/>
        <v>8.0967749905275603</v>
      </c>
      <c r="G20" s="235">
        <f t="shared" si="3"/>
        <v>0.20241937476318916</v>
      </c>
      <c r="H20" s="247">
        <f>E20*24</f>
        <v>1.1091472589763791</v>
      </c>
      <c r="I20" s="247">
        <f>G20*2000</f>
        <v>404.83874952637831</v>
      </c>
    </row>
    <row r="21" spans="1:12" ht="15" customHeight="1" x14ac:dyDescent="0.2">
      <c r="A21" s="233" t="s">
        <v>354</v>
      </c>
      <c r="B21" s="233" t="s">
        <v>36</v>
      </c>
      <c r="C21" s="236">
        <v>0.1</v>
      </c>
      <c r="D21" s="235">
        <f>O8*$C$21</f>
        <v>0.1146961133858268</v>
      </c>
      <c r="E21" s="235">
        <f t="shared" ref="E21:G21" si="4">P8*$C$21</f>
        <v>2.8674028346456727E-3</v>
      </c>
      <c r="F21" s="235">
        <f t="shared" si="4"/>
        <v>0.50236897662992142</v>
      </c>
      <c r="G21" s="235">
        <f t="shared" si="4"/>
        <v>1.2559224415748044E-2</v>
      </c>
      <c r="H21" s="247">
        <f>E21*24</f>
        <v>6.8817668031496138E-2</v>
      </c>
      <c r="I21" s="247">
        <f>G21*2000</f>
        <v>25.118448831496089</v>
      </c>
      <c r="J21" s="218" t="s">
        <v>274</v>
      </c>
    </row>
    <row r="22" spans="1:12" ht="15" customHeight="1" x14ac:dyDescent="0.2">
      <c r="A22" s="233" t="s">
        <v>355</v>
      </c>
      <c r="B22" s="233" t="s">
        <v>5</v>
      </c>
      <c r="C22" s="236">
        <v>1</v>
      </c>
      <c r="D22" s="235">
        <f>O9*$C$22</f>
        <v>0.2073746692913386</v>
      </c>
      <c r="E22" s="235">
        <f t="shared" ref="E22:G22" si="5">P9*$C$22</f>
        <v>5.1843667322834701E-3</v>
      </c>
      <c r="F22" s="235">
        <f t="shared" si="5"/>
        <v>0.90830105149606311</v>
      </c>
      <c r="G22" s="235">
        <f t="shared" si="5"/>
        <v>2.2707526287401598E-2</v>
      </c>
      <c r="H22" s="247">
        <f>E22*24</f>
        <v>0.12442480157480329</v>
      </c>
      <c r="I22" s="247">
        <f>G22*2000</f>
        <v>45.415052574803198</v>
      </c>
      <c r="K22" s="53">
        <f>I21</f>
        <v>25.118448831496089</v>
      </c>
      <c r="L22" s="48" t="s">
        <v>113</v>
      </c>
    </row>
    <row r="23" spans="1:12" ht="15" customHeight="1" x14ac:dyDescent="0.2">
      <c r="A23" s="237"/>
      <c r="B23" s="237"/>
      <c r="C23" s="238"/>
      <c r="D23" s="238"/>
      <c r="E23" s="238"/>
      <c r="F23" s="238"/>
      <c r="G23" s="238" t="s">
        <v>90</v>
      </c>
      <c r="H23" s="247">
        <f>SUM(H20:H22)</f>
        <v>1.3023897285826784</v>
      </c>
      <c r="I23" s="247">
        <f>SUM(I20:I22)</f>
        <v>475.37225093267762</v>
      </c>
    </row>
    <row r="24" spans="1:12" ht="15" customHeight="1" x14ac:dyDescent="0.2">
      <c r="A24" s="239" t="s">
        <v>337</v>
      </c>
    </row>
    <row r="25" spans="1:12" ht="15" customHeight="1" x14ac:dyDescent="0.2">
      <c r="A25" s="240" t="s">
        <v>338</v>
      </c>
      <c r="B25" s="240" t="s">
        <v>331</v>
      </c>
      <c r="C25" s="240" t="s">
        <v>339</v>
      </c>
      <c r="D25" s="240" t="s">
        <v>340</v>
      </c>
      <c r="E25" s="240" t="s">
        <v>322</v>
      </c>
    </row>
    <row r="26" spans="1:12" ht="15" customHeight="1" x14ac:dyDescent="0.2">
      <c r="A26" s="241" t="s">
        <v>341</v>
      </c>
      <c r="B26" s="223">
        <v>5</v>
      </c>
      <c r="C26" s="223">
        <v>0.5</v>
      </c>
      <c r="D26" s="223">
        <v>0.05</v>
      </c>
      <c r="E26" s="242">
        <v>7.83</v>
      </c>
    </row>
    <row r="27" spans="1:12" ht="15" customHeight="1" x14ac:dyDescent="0.2"/>
    <row r="28" spans="1:12" ht="15" customHeight="1" x14ac:dyDescent="0.2">
      <c r="A28" s="243" t="s">
        <v>342</v>
      </c>
    </row>
    <row r="29" spans="1:12" ht="15" customHeight="1" x14ac:dyDescent="0.2">
      <c r="A29" s="244" t="s">
        <v>343</v>
      </c>
    </row>
    <row r="30" spans="1:12" ht="15" customHeight="1" x14ac:dyDescent="0.2">
      <c r="A30" s="218" t="s">
        <v>351</v>
      </c>
    </row>
    <row r="31" spans="1:12" ht="15" customHeight="1" x14ac:dyDescent="0.2">
      <c r="A31" s="218" t="s">
        <v>352</v>
      </c>
    </row>
    <row r="32" spans="1:12" ht="15" customHeight="1" x14ac:dyDescent="0.2">
      <c r="A32" s="218" t="s">
        <v>353</v>
      </c>
    </row>
    <row r="33" spans="1:1" ht="15" customHeight="1" x14ac:dyDescent="0.2">
      <c r="A33" s="218" t="s">
        <v>344</v>
      </c>
    </row>
    <row r="34" spans="1:1" ht="15" customHeight="1" x14ac:dyDescent="0.2">
      <c r="A34" s="218" t="s">
        <v>345</v>
      </c>
    </row>
    <row r="35" spans="1:1" x14ac:dyDescent="0.2">
      <c r="A35" s="218" t="s">
        <v>350</v>
      </c>
    </row>
  </sheetData>
  <mergeCells count="2">
    <mergeCell ref="H18:H19"/>
    <mergeCell ref="I18:I19"/>
  </mergeCells>
  <phoneticPr fontId="5" type="noConversion"/>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11</vt:i4>
      </vt:variant>
      <vt:variant>
        <vt:lpstr>Named Ranges</vt:lpstr>
      </vt:variant>
      <vt:variant>
        <vt:i4>15</vt:i4>
      </vt:variant>
    </vt:vector>
  </HeadingPairs>
  <TitlesOfParts>
    <vt:vector size="26" baseType="lpstr">
      <vt:lpstr>Emission summary</vt:lpstr>
      <vt:lpstr>6Condensing Boiler (B1)</vt:lpstr>
      <vt:lpstr>7Building F Domestic HWH (B2)</vt:lpstr>
      <vt:lpstr>8Pretreatment Heater H1</vt:lpstr>
      <vt:lpstr>9IR Heaters (H4)</vt:lpstr>
      <vt:lpstr>1Pretreatment Heater H2</vt:lpstr>
      <vt:lpstr>2Coating Oven Burner H3</vt:lpstr>
      <vt:lpstr>3Coating Oven (CO1)</vt:lpstr>
      <vt:lpstr>4Coating Line Baths (CL1)</vt:lpstr>
      <vt:lpstr>5Welding (W1)</vt:lpstr>
      <vt:lpstr>Laser Cutters (L1)</vt:lpstr>
      <vt:lpstr>'1Pretreatment Heater H2'!Print_Area</vt:lpstr>
      <vt:lpstr>'2Coating Oven Burner H3'!Print_Area</vt:lpstr>
      <vt:lpstr>'3Coating Oven (CO1)'!Print_Area</vt:lpstr>
      <vt:lpstr>'4Coating Line Baths (CL1)'!Print_Area</vt:lpstr>
      <vt:lpstr>'5Welding (W1)'!Print_Area</vt:lpstr>
      <vt:lpstr>'6Condensing Boiler (B1)'!Print_Area</vt:lpstr>
      <vt:lpstr>'7Building F Domestic HWH (B2)'!Print_Area</vt:lpstr>
      <vt:lpstr>'8Pretreatment Heater H1'!Print_Area</vt:lpstr>
      <vt:lpstr>'9IR Heaters (H4)'!Print_Area</vt:lpstr>
      <vt:lpstr>'Emission summary'!Print_Area</vt:lpstr>
      <vt:lpstr>'1Pretreatment Heater H2'!Print_Titles</vt:lpstr>
      <vt:lpstr>'2Coating Oven Burner H3'!Print_Titles</vt:lpstr>
      <vt:lpstr>'7Building F Domestic HWH (B2)'!Print_Titles</vt:lpstr>
      <vt:lpstr>'8Pretreatment Heater H1'!Print_Titles</vt:lpstr>
      <vt:lpstr>'9IR Heaters (H4)'!Print_Titles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Browning</dc:creator>
  <cp:lastModifiedBy>John Browning</cp:lastModifiedBy>
  <cp:lastPrinted>2022-01-12T22:56:31Z</cp:lastPrinted>
  <dcterms:created xsi:type="dcterms:W3CDTF">2021-05-25T15:41:02Z</dcterms:created>
  <dcterms:modified xsi:type="dcterms:W3CDTF">2022-04-22T17:39:10Z</dcterms:modified>
</cp:coreProperties>
</file>